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tanaka\Desktop\"/>
    </mc:Choice>
  </mc:AlternateContent>
  <bookViews>
    <workbookView xWindow="-120" yWindow="-120" windowWidth="29040" windowHeight="15840"/>
  </bookViews>
  <sheets>
    <sheet name="はじめに" sheetId="21" r:id="rId1"/>
    <sheet name="基本式" sheetId="1" r:id="rId2"/>
    <sheet name="Ａ　対策量、処理量(建ぺい率)" sheetId="9" r:id="rId3"/>
    <sheet name="Ｂ　対策量、処理量(工種別)" sheetId="7" r:id="rId4"/>
    <sheet name="①（浸透ﾄﾚﾝﾁ）H≦1.5、Ｗ≦1.5 " sheetId="14" r:id="rId5"/>
    <sheet name="②（浸透ﾄﾚﾝﾁ）1.5＜Ｈ、1.5＜Ｗ " sheetId="15" r:id="rId6"/>
    <sheet name="③（正方形桝）W≦1ｍ " sheetId="16" r:id="rId7"/>
    <sheet name="④（正方形桝）1ｍ＜W≦10ｍ " sheetId="17" r:id="rId8"/>
    <sheet name="⑤（矩形桝） " sheetId="18" r:id="rId9"/>
    <sheet name="⑥（大型貯留槽使用）※使用不可" sheetId="12" state="hidden" r:id="rId10"/>
  </sheets>
  <definedNames>
    <definedName name="_xlnm._FilterDatabase" localSheetId="6" hidden="1">'③（正方形桝）W≦1ｍ '!$C$30:$E$62</definedName>
    <definedName name="_xlnm._FilterDatabase" localSheetId="7" hidden="1">'④（正方形桝）1ｍ＜W≦10ｍ '!$C$30:$E$62</definedName>
    <definedName name="_xlnm._FilterDatabase" localSheetId="8" hidden="1">'⑤（矩形桝） '!$C$21:$E$51</definedName>
    <definedName name="_xlnm._FilterDatabase" localSheetId="9" hidden="1">'⑥（大型貯留槽使用）※使用不可'!$C$30:$E$62</definedName>
    <definedName name="_xlnm.Print_Area" localSheetId="4">'①（浸透ﾄﾚﾝﾁ）H≦1.5、Ｗ≦1.5 '!$A$1:$K$43</definedName>
    <definedName name="_xlnm.Print_Area" localSheetId="5">'②（浸透ﾄﾚﾝﾁ）1.5＜Ｈ、1.5＜Ｗ '!$A$1:$K$44</definedName>
    <definedName name="_xlnm.Print_Area" localSheetId="6">'③（正方形桝）W≦1ｍ '!$A$1:$K$65</definedName>
    <definedName name="_xlnm.Print_Area" localSheetId="7">'④（正方形桝）1ｍ＜W≦10ｍ '!$A$1:$K$65</definedName>
    <definedName name="_xlnm.Print_Area" localSheetId="8">'⑤（矩形桝） '!$A$1:$K$54</definedName>
    <definedName name="_xlnm.Print_Area" localSheetId="9">'⑥（大型貯留槽使用）※使用不可'!$A$1:$K$65</definedName>
    <definedName name="_xlnm.Print_Area" localSheetId="2">'Ａ　対策量、処理量(建ぺい率)'!$A$1:$K$59</definedName>
    <definedName name="_xlnm.Print_Area" localSheetId="3">'Ｂ　対策量、処理量(工種別)'!$A$1:$K$58</definedName>
    <definedName name="_xlnm.Print_Area" localSheetId="0">はじめに!$A$1:$C$7</definedName>
    <definedName name="_xlnm.Print_Area" localSheetId="1">基本式!$A$1:$G$20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16" l="1"/>
  <c r="G26" i="18" l="1"/>
  <c r="G27" i="18" s="1"/>
  <c r="G25" i="18"/>
  <c r="D17" i="18"/>
  <c r="E19" i="18" s="1"/>
  <c r="E21" i="18" s="1"/>
  <c r="E14" i="18"/>
  <c r="E13" i="18"/>
  <c r="G37" i="17"/>
  <c r="G38" i="17" s="1"/>
  <c r="G40" i="17" s="1"/>
  <c r="G36" i="17"/>
  <c r="E22" i="17"/>
  <c r="E21" i="17"/>
  <c r="E13" i="17"/>
  <c r="E12" i="17"/>
  <c r="D16" i="17" s="1"/>
  <c r="E18" i="17" s="1"/>
  <c r="G37" i="16"/>
  <c r="G38" i="16" s="1"/>
  <c r="G40" i="16" s="1"/>
  <c r="E22" i="16"/>
  <c r="E21" i="16"/>
  <c r="D16" i="16"/>
  <c r="E18" i="16" s="1"/>
  <c r="E14" i="16"/>
  <c r="E13" i="16"/>
  <c r="E12" i="16"/>
  <c r="H22" i="15"/>
  <c r="H23" i="15" s="1"/>
  <c r="H25" i="15" s="1"/>
  <c r="H21" i="15"/>
  <c r="H18" i="15"/>
  <c r="H16" i="15"/>
  <c r="H14" i="15"/>
  <c r="H13" i="15"/>
  <c r="H12" i="15"/>
  <c r="H22" i="14"/>
  <c r="H23" i="14" s="1"/>
  <c r="H25" i="14" s="1"/>
  <c r="H21" i="14"/>
  <c r="H14" i="14"/>
  <c r="H16" i="14" s="1"/>
  <c r="H18" i="14" s="1"/>
  <c r="H13" i="14"/>
  <c r="F18" i="7"/>
  <c r="E13" i="9"/>
  <c r="E27" i="16" l="1"/>
  <c r="G27" i="16" s="1"/>
  <c r="E26" i="16"/>
  <c r="G26" i="16" s="1"/>
  <c r="E25" i="17"/>
  <c r="G25" i="17" s="1"/>
  <c r="E27" i="17"/>
  <c r="E26" i="17"/>
  <c r="E16" i="7"/>
  <c r="E15" i="7"/>
  <c r="H25" i="7" s="1"/>
  <c r="H26" i="7" s="1"/>
  <c r="E14" i="7"/>
  <c r="E13" i="7"/>
  <c r="E12" i="7"/>
  <c r="G29" i="18" l="1"/>
  <c r="G26" i="17" l="1"/>
  <c r="D8" i="15"/>
  <c r="F33" i="9"/>
  <c r="D8" i="14"/>
  <c r="D7" i="14"/>
  <c r="D5" i="14"/>
  <c r="G27" i="17" l="1"/>
  <c r="E32" i="17" s="1"/>
  <c r="F35" i="7"/>
  <c r="E25" i="16" l="1"/>
  <c r="G25" i="16" s="1"/>
  <c r="E32" i="16" s="1"/>
  <c r="G37" i="7"/>
  <c r="G34" i="9"/>
  <c r="G33" i="9"/>
  <c r="G35" i="7"/>
  <c r="O5" i="12"/>
  <c r="C13" i="12" s="1"/>
  <c r="O4" i="12"/>
  <c r="C12" i="12" s="1"/>
  <c r="G40" i="7" l="1"/>
  <c r="F37" i="7"/>
  <c r="D8" i="12"/>
  <c r="E22" i="12"/>
  <c r="E21" i="12"/>
  <c r="G13" i="9"/>
  <c r="H13" i="9" s="1"/>
  <c r="G14" i="9" l="1"/>
  <c r="H14" i="9" s="1"/>
  <c r="H23" i="9" s="1"/>
  <c r="H24" i="9" s="1"/>
  <c r="F34" i="9"/>
  <c r="G37" i="12"/>
  <c r="P12" i="12"/>
  <c r="R12" i="12" s="1"/>
  <c r="P9" i="12"/>
  <c r="R9" i="12" s="1"/>
  <c r="P11" i="12"/>
  <c r="R11" i="12" s="1"/>
  <c r="P13" i="12"/>
  <c r="R13" i="12" s="1"/>
  <c r="P10" i="12"/>
  <c r="R10" i="12" s="1"/>
  <c r="G36" i="12"/>
  <c r="P8" i="12"/>
  <c r="D9" i="12"/>
  <c r="G38" i="12" l="1"/>
  <c r="G40" i="12" s="1"/>
  <c r="D16" i="12"/>
  <c r="E18" i="12" s="1"/>
  <c r="E32" i="12" s="1"/>
  <c r="R8" i="12"/>
  <c r="E14" i="9" l="1"/>
  <c r="H46" i="9" l="1"/>
  <c r="H48" i="7" l="1"/>
  <c r="G38" i="9" l="1"/>
  <c r="F40" i="7" l="1"/>
  <c r="F38" i="9"/>
  <c r="F39" i="9" s="1"/>
  <c r="F46" i="9" s="1"/>
  <c r="G46" i="9" s="1"/>
  <c r="D48" i="9" s="1"/>
  <c r="F41" i="7" l="1"/>
  <c r="F48" i="7" s="1"/>
  <c r="G48" i="7" s="1"/>
  <c r="D50" i="7" s="1"/>
</calcChain>
</file>

<file path=xl/comments1.xml><?xml version="1.0" encoding="utf-8"?>
<comments xmlns="http://schemas.openxmlformats.org/spreadsheetml/2006/main">
  <authors>
    <author>田中 勇人</author>
  </authors>
  <commentList>
    <comment ref="F25" authorId="0" shapeId="0">
      <text>
        <r>
          <rPr>
            <b/>
            <sz val="9"/>
            <color indexed="81"/>
            <rFont val="MS P ゴシック"/>
            <family val="3"/>
            <charset val="128"/>
          </rPr>
          <t>下図を参照し、
該当する場所へ個数を入力する。</t>
        </r>
      </text>
    </comment>
  </commentList>
</comments>
</file>

<file path=xl/comments2.xml><?xml version="1.0" encoding="utf-8"?>
<comments xmlns="http://schemas.openxmlformats.org/spreadsheetml/2006/main">
  <authors>
    <author>田中 勇人</author>
  </authors>
  <commentList>
    <comment ref="F25" authorId="0" shapeId="0">
      <text>
        <r>
          <rPr>
            <b/>
            <sz val="9"/>
            <color indexed="81"/>
            <rFont val="MS P ゴシック"/>
            <family val="3"/>
            <charset val="128"/>
          </rPr>
          <t>下図を参照し、
該当する場所へ個数を入力する。</t>
        </r>
      </text>
    </comment>
  </commentList>
</comments>
</file>

<file path=xl/comments3.xml><?xml version="1.0" encoding="utf-8"?>
<comments xmlns="http://schemas.openxmlformats.org/spreadsheetml/2006/main">
  <authors>
    <author>田中 勇人</author>
  </authors>
  <commentList>
    <comment ref="O3" authorId="0" shapeId="0">
      <text>
        <r>
          <rPr>
            <b/>
            <sz val="9"/>
            <color indexed="81"/>
            <rFont val="MS P ゴシック"/>
            <family val="3"/>
            <charset val="128"/>
          </rPr>
          <t>田中 勇人:</t>
        </r>
        <r>
          <rPr>
            <sz val="9"/>
            <color indexed="81"/>
            <rFont val="MS P ゴシック"/>
            <family val="3"/>
            <charset val="128"/>
          </rPr>
          <t xml:space="preserve">
つぎはここから</t>
        </r>
      </text>
    </comment>
    <comment ref="F25" authorId="0" shapeId="0">
      <text>
        <r>
          <rPr>
            <b/>
            <sz val="9"/>
            <color indexed="81"/>
            <rFont val="MS P ゴシック"/>
            <family val="3"/>
            <charset val="128"/>
          </rPr>
          <t>下図を参照し、
該当する場所へ個数を入力する。</t>
        </r>
      </text>
    </comment>
  </commentList>
</comments>
</file>

<file path=xl/sharedStrings.xml><?xml version="1.0" encoding="utf-8"?>
<sst xmlns="http://schemas.openxmlformats.org/spreadsheetml/2006/main" count="387" uniqueCount="185">
  <si>
    <t>基本式</t>
    <rPh sb="0" eb="2">
      <t>キホン</t>
    </rPh>
    <rPh sb="2" eb="3">
      <t>シキ</t>
    </rPh>
    <phoneticPr fontId="1"/>
  </si>
  <si>
    <t>比浸透量</t>
    <rPh sb="0" eb="1">
      <t>ヒ</t>
    </rPh>
    <rPh sb="1" eb="3">
      <t>シントウ</t>
    </rPh>
    <rPh sb="3" eb="4">
      <t>リョウ</t>
    </rPh>
    <phoneticPr fontId="1"/>
  </si>
  <si>
    <t>Ｋｆ＝</t>
    <phoneticPr fontId="1"/>
  </si>
  <si>
    <t>b</t>
    <phoneticPr fontId="1"/>
  </si>
  <si>
    <t>土壌の飽和透水係数</t>
    <rPh sb="0" eb="2">
      <t>ドジョウ</t>
    </rPh>
    <rPh sb="3" eb="5">
      <t>ホウワ</t>
    </rPh>
    <rPh sb="5" eb="7">
      <t>トウスイ</t>
    </rPh>
    <rPh sb="7" eb="9">
      <t>ケイスウ</t>
    </rPh>
    <phoneticPr fontId="1"/>
  </si>
  <si>
    <t>影響係数</t>
    <rPh sb="0" eb="2">
      <t>エイキョウ</t>
    </rPh>
    <rPh sb="2" eb="4">
      <t>ケイスウ</t>
    </rPh>
    <phoneticPr fontId="1"/>
  </si>
  <si>
    <t>比浸透量＊土壌の飽和透水係数＊影響係数</t>
    <rPh sb="0" eb="4">
      <t>ヒシントウリョウ</t>
    </rPh>
    <rPh sb="5" eb="7">
      <t>ドジョウ</t>
    </rPh>
    <rPh sb="8" eb="10">
      <t>ホウワ</t>
    </rPh>
    <rPh sb="10" eb="12">
      <t>トウスイ</t>
    </rPh>
    <rPh sb="12" eb="14">
      <t>ケイスウ</t>
    </rPh>
    <rPh sb="15" eb="17">
      <t>エイキョウ</t>
    </rPh>
    <rPh sb="17" eb="19">
      <t>ケイスウ</t>
    </rPh>
    <phoneticPr fontId="1"/>
  </si>
  <si>
    <t>浸透量＝</t>
    <rPh sb="0" eb="2">
      <t>シントウ</t>
    </rPh>
    <rPh sb="2" eb="3">
      <t>リョウ</t>
    </rPh>
    <phoneticPr fontId="1"/>
  </si>
  <si>
    <t>Ｋｆ</t>
    <phoneticPr fontId="1"/>
  </si>
  <si>
    <t>浸透量</t>
    <rPh sb="0" eb="2">
      <t>シントウ</t>
    </rPh>
    <rPh sb="2" eb="3">
      <t>リョウ</t>
    </rPh>
    <phoneticPr fontId="1"/>
  </si>
  <si>
    <t>Ｈ：計水頭</t>
    <rPh sb="2" eb="3">
      <t>ケイ</t>
    </rPh>
    <rPh sb="3" eb="5">
      <t>スイトウ</t>
    </rPh>
    <phoneticPr fontId="1"/>
  </si>
  <si>
    <t>Ｌ：長辺長さ</t>
    <rPh sb="2" eb="4">
      <t>チョウヘン</t>
    </rPh>
    <rPh sb="4" eb="5">
      <t>ナガ</t>
    </rPh>
    <phoneticPr fontId="1"/>
  </si>
  <si>
    <t>Ｗ：施設幅</t>
    <rPh sb="2" eb="4">
      <t>シセツ</t>
    </rPh>
    <rPh sb="4" eb="5">
      <t>ハバ</t>
    </rPh>
    <phoneticPr fontId="1"/>
  </si>
  <si>
    <t>aH+b</t>
    <phoneticPr fontId="1"/>
  </si>
  <si>
    <t>ｍ</t>
    <phoneticPr fontId="1"/>
  </si>
  <si>
    <t>合計</t>
    <rPh sb="0" eb="2">
      <t>ゴウケイ</t>
    </rPh>
    <phoneticPr fontId="1"/>
  </si>
  <si>
    <r>
      <t>Ｋｆ＝aH</t>
    </r>
    <r>
      <rPr>
        <vertAlign val="superscript"/>
        <sz val="11"/>
        <color theme="1"/>
        <rFont val="ＭＳ ゴシック"/>
        <family val="3"/>
        <charset val="128"/>
      </rPr>
      <t>2</t>
    </r>
    <r>
      <rPr>
        <sz val="11"/>
        <color theme="1"/>
        <rFont val="ＭＳ ゴシック"/>
        <family val="3"/>
        <charset val="128"/>
      </rPr>
      <t>+bH+c</t>
    </r>
    <phoneticPr fontId="1"/>
  </si>
  <si>
    <t>a</t>
    <phoneticPr fontId="1"/>
  </si>
  <si>
    <t>c</t>
    <phoneticPr fontId="1"/>
  </si>
  <si>
    <t>0.12W+0.985</t>
    <phoneticPr fontId="1"/>
  </si>
  <si>
    <t>7.837W+0.82</t>
    <phoneticPr fontId="1"/>
  </si>
  <si>
    <t>2.858W-0.283</t>
    <phoneticPr fontId="1"/>
  </si>
  <si>
    <t>Ｋｆ*0.108*0.81</t>
    <phoneticPr fontId="1"/>
  </si>
  <si>
    <t>補正係数</t>
    <rPh sb="0" eb="4">
      <t>ホセイケイスウ</t>
    </rPh>
    <phoneticPr fontId="1"/>
  </si>
  <si>
    <t>一面浸透なし</t>
    <rPh sb="0" eb="2">
      <t>イチメン</t>
    </rPh>
    <rPh sb="2" eb="4">
      <t>シントウ</t>
    </rPh>
    <phoneticPr fontId="1"/>
  </si>
  <si>
    <t>二面浸透なし</t>
    <rPh sb="0" eb="2">
      <t>２メン</t>
    </rPh>
    <rPh sb="2" eb="4">
      <t>シントウ</t>
    </rPh>
    <phoneticPr fontId="1"/>
  </si>
  <si>
    <t>(3/2H+W)/(2H+W)</t>
    <phoneticPr fontId="1"/>
  </si>
  <si>
    <t>標準浸透量</t>
    <rPh sb="0" eb="2">
      <t>ヒョウジュン</t>
    </rPh>
    <rPh sb="2" eb="4">
      <t>シントウ</t>
    </rPh>
    <rPh sb="4" eb="5">
      <t>リョウ</t>
    </rPh>
    <phoneticPr fontId="1"/>
  </si>
  <si>
    <t>Ｋｆ＊0.108＊0.81</t>
    <phoneticPr fontId="1"/>
  </si>
  <si>
    <t>a＝</t>
    <phoneticPr fontId="1"/>
  </si>
  <si>
    <t>b＝</t>
    <phoneticPr fontId="1"/>
  </si>
  <si>
    <t>1.34Ｗ＋0.677</t>
    <phoneticPr fontId="1"/>
  </si>
  <si>
    <t>基準浸透量</t>
    <rPh sb="0" eb="2">
      <t>キジュン</t>
    </rPh>
    <rPh sb="2" eb="4">
      <t>シントウ</t>
    </rPh>
    <rPh sb="4" eb="5">
      <t>リョウ</t>
    </rPh>
    <phoneticPr fontId="1"/>
  </si>
  <si>
    <t>Ｑf＝</t>
    <phoneticPr fontId="1"/>
  </si>
  <si>
    <t>㎥/hr</t>
    <phoneticPr fontId="1"/>
  </si>
  <si>
    <t>Ｑ＝</t>
    <phoneticPr fontId="1"/>
  </si>
  <si>
    <t>Ｑf＊Ｌ</t>
    <phoneticPr fontId="1"/>
  </si>
  <si>
    <t>基準貯留量</t>
    <rPh sb="0" eb="2">
      <t>キジュン</t>
    </rPh>
    <rPh sb="2" eb="4">
      <t>チョリュウ</t>
    </rPh>
    <rPh sb="4" eb="5">
      <t>リョウ</t>
    </rPh>
    <phoneticPr fontId="1"/>
  </si>
  <si>
    <t>貯留量</t>
    <rPh sb="0" eb="2">
      <t>チョリュウ</t>
    </rPh>
    <rPh sb="2" eb="3">
      <t>リョウ</t>
    </rPh>
    <phoneticPr fontId="1"/>
  </si>
  <si>
    <t>透水管本体の空体積</t>
    <rPh sb="0" eb="2">
      <t>トウスイ</t>
    </rPh>
    <rPh sb="2" eb="3">
      <t>カン</t>
    </rPh>
    <rPh sb="3" eb="5">
      <t>ホンタイ</t>
    </rPh>
    <rPh sb="6" eb="7">
      <t>カラ</t>
    </rPh>
    <rPh sb="7" eb="9">
      <t>タイセキ</t>
    </rPh>
    <phoneticPr fontId="1"/>
  </si>
  <si>
    <t>砕石部等の体積＊空隙率</t>
    <rPh sb="0" eb="2">
      <t>サイセキ</t>
    </rPh>
    <rPh sb="2" eb="3">
      <t>ブ</t>
    </rPh>
    <rPh sb="3" eb="4">
      <t>トウ</t>
    </rPh>
    <rPh sb="5" eb="7">
      <t>タイセキ</t>
    </rPh>
    <rPh sb="8" eb="10">
      <t>クウゲキ</t>
    </rPh>
    <rPh sb="10" eb="11">
      <t>リツ</t>
    </rPh>
    <phoneticPr fontId="1"/>
  </si>
  <si>
    <t>基準貯留量＊Ｌ</t>
    <rPh sb="0" eb="5">
      <t>キジュンチョリュウリョウ</t>
    </rPh>
    <phoneticPr fontId="1"/>
  </si>
  <si>
    <t>一面なし浸透量</t>
    <rPh sb="0" eb="2">
      <t>イチメン</t>
    </rPh>
    <rPh sb="4" eb="7">
      <t>シントウリョウ</t>
    </rPh>
    <phoneticPr fontId="1"/>
  </si>
  <si>
    <t>二面なし浸透量</t>
    <rPh sb="0" eb="2">
      <t>２メン</t>
    </rPh>
    <rPh sb="4" eb="6">
      <t>シントウ</t>
    </rPh>
    <rPh sb="6" eb="7">
      <t>リョウ</t>
    </rPh>
    <phoneticPr fontId="1"/>
  </si>
  <si>
    <t>①浸透トレンチ計算シート</t>
    <rPh sb="1" eb="3">
      <t>シントウ</t>
    </rPh>
    <rPh sb="7" eb="9">
      <t>ケイサン</t>
    </rPh>
    <phoneticPr fontId="1"/>
  </si>
  <si>
    <t>浸透量 Qf</t>
    <rPh sb="0" eb="2">
      <t>シントウ</t>
    </rPh>
    <rPh sb="2" eb="3">
      <t>リョウ</t>
    </rPh>
    <phoneticPr fontId="1"/>
  </si>
  <si>
    <t>㎥/hr</t>
    <phoneticPr fontId="1"/>
  </si>
  <si>
    <t>浸透桝浸透量</t>
    <rPh sb="0" eb="2">
      <t>シントウ</t>
    </rPh>
    <rPh sb="2" eb="3">
      <t>マス</t>
    </rPh>
    <rPh sb="3" eb="5">
      <t>シントウ</t>
    </rPh>
    <rPh sb="5" eb="6">
      <t>リョウ</t>
    </rPh>
    <phoneticPr fontId="1"/>
  </si>
  <si>
    <t>Qf×施設個数</t>
    <rPh sb="3" eb="5">
      <t>シセツ</t>
    </rPh>
    <rPh sb="5" eb="7">
      <t>コスウ</t>
    </rPh>
    <phoneticPr fontId="1"/>
  </si>
  <si>
    <t>Ｗ施設幅</t>
    <phoneticPr fontId="1"/>
  </si>
  <si>
    <t>Ｈ高さ</t>
    <rPh sb="1" eb="2">
      <t>タカ</t>
    </rPh>
    <phoneticPr fontId="1"/>
  </si>
  <si>
    <t>桝本体の空体積＋砕石部等の体積＊空隙率（３５％）</t>
    <rPh sb="0" eb="1">
      <t>マス</t>
    </rPh>
    <rPh sb="1" eb="3">
      <t>ホンタイ</t>
    </rPh>
    <rPh sb="4" eb="5">
      <t>カラ</t>
    </rPh>
    <rPh sb="5" eb="7">
      <t>タイセキ</t>
    </rPh>
    <rPh sb="8" eb="10">
      <t>サイセキ</t>
    </rPh>
    <rPh sb="10" eb="11">
      <t>ブ</t>
    </rPh>
    <rPh sb="11" eb="12">
      <t>トウ</t>
    </rPh>
    <rPh sb="13" eb="15">
      <t>タイセキ</t>
    </rPh>
    <rPh sb="16" eb="18">
      <t>クウゲキ</t>
    </rPh>
    <rPh sb="18" eb="19">
      <t>リツ</t>
    </rPh>
    <phoneticPr fontId="1"/>
  </si>
  <si>
    <t>桝本体の空体積</t>
    <rPh sb="0" eb="1">
      <t>マス</t>
    </rPh>
    <rPh sb="1" eb="3">
      <t>ホンタイ</t>
    </rPh>
    <rPh sb="4" eb="5">
      <t>カラ</t>
    </rPh>
    <rPh sb="5" eb="7">
      <t>タイセキ</t>
    </rPh>
    <phoneticPr fontId="1"/>
  </si>
  <si>
    <t>基準貯留量＊個数</t>
    <rPh sb="0" eb="5">
      <t>キジュンチョリュウリョウ</t>
    </rPh>
    <rPh sb="6" eb="8">
      <t>コスウ</t>
    </rPh>
    <phoneticPr fontId="1"/>
  </si>
  <si>
    <t>小計</t>
    <rPh sb="0" eb="2">
      <t>ショウケイ</t>
    </rPh>
    <phoneticPr fontId="1"/>
  </si>
  <si>
    <t>雨水流出抑制施設の処理量</t>
    <rPh sb="0" eb="2">
      <t>ウスイ</t>
    </rPh>
    <rPh sb="2" eb="4">
      <t>リュウシュツ</t>
    </rPh>
    <rPh sb="4" eb="6">
      <t>ヨクセイ</t>
    </rPh>
    <rPh sb="6" eb="8">
      <t>シセツ</t>
    </rPh>
    <rPh sb="9" eb="11">
      <t>ショリ</t>
    </rPh>
    <rPh sb="11" eb="12">
      <t>リョウ</t>
    </rPh>
    <phoneticPr fontId="1"/>
  </si>
  <si>
    <t>工種別基礎流出係数</t>
    <rPh sb="0" eb="2">
      <t>コウシュ</t>
    </rPh>
    <rPh sb="2" eb="3">
      <t>ベツ</t>
    </rPh>
    <rPh sb="3" eb="5">
      <t>キソ</t>
    </rPh>
    <rPh sb="5" eb="7">
      <t>リュウシュツ</t>
    </rPh>
    <rPh sb="7" eb="9">
      <t>ケイスウ</t>
    </rPh>
    <phoneticPr fontId="1"/>
  </si>
  <si>
    <t>工種別</t>
    <rPh sb="0" eb="2">
      <t>コウシュ</t>
    </rPh>
    <rPh sb="2" eb="3">
      <t>ベツ</t>
    </rPh>
    <phoneticPr fontId="1"/>
  </si>
  <si>
    <t>流出係数</t>
    <rPh sb="0" eb="2">
      <t>リュウシュツ</t>
    </rPh>
    <rPh sb="2" eb="4">
      <t>ケイスウ</t>
    </rPh>
    <phoneticPr fontId="1"/>
  </si>
  <si>
    <t>屋根</t>
    <rPh sb="0" eb="2">
      <t>ヤネ</t>
    </rPh>
    <phoneticPr fontId="1"/>
  </si>
  <si>
    <t>道路</t>
    <rPh sb="0" eb="2">
      <t>ドウロ</t>
    </rPh>
    <phoneticPr fontId="1"/>
  </si>
  <si>
    <t>その他の不透水面</t>
    <rPh sb="2" eb="3">
      <t>タ</t>
    </rPh>
    <rPh sb="4" eb="7">
      <t>フトウスイ</t>
    </rPh>
    <rPh sb="6" eb="8">
      <t>スイメン</t>
    </rPh>
    <phoneticPr fontId="1"/>
  </si>
  <si>
    <t>透水性舗装</t>
    <rPh sb="0" eb="3">
      <t>トウスイセイ</t>
    </rPh>
    <rPh sb="3" eb="5">
      <t>ホソウ</t>
    </rPh>
    <phoneticPr fontId="1"/>
  </si>
  <si>
    <t>間地（空地）</t>
    <rPh sb="0" eb="1">
      <t>アイダ</t>
    </rPh>
    <rPh sb="1" eb="2">
      <t>チ</t>
    </rPh>
    <rPh sb="3" eb="4">
      <t>カラ</t>
    </rPh>
    <rPh sb="4" eb="5">
      <t>チ</t>
    </rPh>
    <phoneticPr fontId="1"/>
  </si>
  <si>
    <t>芝、樹木の多い公園</t>
    <rPh sb="0" eb="1">
      <t>シバ</t>
    </rPh>
    <rPh sb="2" eb="4">
      <t>ジュモク</t>
    </rPh>
    <rPh sb="5" eb="6">
      <t>オオ</t>
    </rPh>
    <rPh sb="7" eb="9">
      <t>コウエン</t>
    </rPh>
    <phoneticPr fontId="1"/>
  </si>
  <si>
    <t>勾配の緩い山地</t>
    <rPh sb="0" eb="2">
      <t>コウバイ</t>
    </rPh>
    <rPh sb="3" eb="4">
      <t>ユル</t>
    </rPh>
    <rPh sb="5" eb="6">
      <t>ヤマ</t>
    </rPh>
    <rPh sb="6" eb="7">
      <t>チ</t>
    </rPh>
    <phoneticPr fontId="1"/>
  </si>
  <si>
    <t>勾配の急な山地</t>
    <rPh sb="0" eb="2">
      <t>コウバイ</t>
    </rPh>
    <rPh sb="3" eb="4">
      <t>キュウ</t>
    </rPh>
    <rPh sb="5" eb="6">
      <t>ヤマ</t>
    </rPh>
    <rPh sb="6" eb="7">
      <t>チ</t>
    </rPh>
    <phoneticPr fontId="1"/>
  </si>
  <si>
    <t>水面</t>
    <rPh sb="0" eb="2">
      <t>スイメン</t>
    </rPh>
    <phoneticPr fontId="1"/>
  </si>
  <si>
    <t>工種別基礎流出係数から算出する場合</t>
    <rPh sb="0" eb="2">
      <t>コウシュ</t>
    </rPh>
    <rPh sb="2" eb="3">
      <t>ベツ</t>
    </rPh>
    <rPh sb="3" eb="5">
      <t>キソ</t>
    </rPh>
    <rPh sb="5" eb="7">
      <t>リュウシュツ</t>
    </rPh>
    <rPh sb="7" eb="9">
      <t>ケイスウ</t>
    </rPh>
    <rPh sb="11" eb="13">
      <t>サンシュツ</t>
    </rPh>
    <rPh sb="15" eb="17">
      <t>バアイ</t>
    </rPh>
    <phoneticPr fontId="1"/>
  </si>
  <si>
    <t>集水面積</t>
    <rPh sb="0" eb="2">
      <t>シュウスイ</t>
    </rPh>
    <rPh sb="2" eb="4">
      <t>メンセキ</t>
    </rPh>
    <phoneticPr fontId="1"/>
  </si>
  <si>
    <t>工種別面積</t>
    <rPh sb="0" eb="2">
      <t>コウシュ</t>
    </rPh>
    <rPh sb="2" eb="3">
      <t>ベツ</t>
    </rPh>
    <rPh sb="3" eb="5">
      <t>メンセキ</t>
    </rPh>
    <phoneticPr fontId="1"/>
  </si>
  <si>
    <t>㎡</t>
    <phoneticPr fontId="1"/>
  </si>
  <si>
    <t>（流出係数×工種別面積）/集水面積</t>
    <rPh sb="1" eb="3">
      <t>リュウシュツ</t>
    </rPh>
    <rPh sb="3" eb="5">
      <t>ケイスウ</t>
    </rPh>
    <rPh sb="6" eb="7">
      <t>コウ</t>
    </rPh>
    <rPh sb="7" eb="9">
      <t>シュベツ</t>
    </rPh>
    <rPh sb="9" eb="11">
      <t>メンセキ</t>
    </rPh>
    <rPh sb="13" eb="15">
      <t>シュウスイ</t>
    </rPh>
    <rPh sb="15" eb="17">
      <t>メンセキ</t>
    </rPh>
    <phoneticPr fontId="1"/>
  </si>
  <si>
    <t>1/1000×C×I×A</t>
    <phoneticPr fontId="1"/>
  </si>
  <si>
    <t>雨水流出抑制施設の処理量Ｑ＝</t>
    <rPh sb="0" eb="2">
      <t>ウスイ</t>
    </rPh>
    <rPh sb="2" eb="4">
      <t>リュウシュツ</t>
    </rPh>
    <rPh sb="4" eb="6">
      <t>ヨクセイ</t>
    </rPh>
    <rPh sb="6" eb="8">
      <t>シセツ</t>
    </rPh>
    <rPh sb="9" eb="11">
      <t>ショリ</t>
    </rPh>
    <rPh sb="11" eb="12">
      <t>リョウ</t>
    </rPh>
    <phoneticPr fontId="1"/>
  </si>
  <si>
    <t>㎥/hr</t>
    <phoneticPr fontId="1"/>
  </si>
  <si>
    <t>正方形桝</t>
    <rPh sb="0" eb="3">
      <t>セイホウケイ</t>
    </rPh>
    <rPh sb="3" eb="4">
      <t>マス</t>
    </rPh>
    <phoneticPr fontId="1"/>
  </si>
  <si>
    <t>浸透ﾄﾚﾝﾁ</t>
    <rPh sb="0" eb="2">
      <t>シントウ</t>
    </rPh>
    <phoneticPr fontId="1"/>
  </si>
  <si>
    <t>名称</t>
    <rPh sb="0" eb="2">
      <t>メイショウ</t>
    </rPh>
    <phoneticPr fontId="1"/>
  </si>
  <si>
    <t>内径</t>
    <rPh sb="0" eb="2">
      <t>ナイケイ</t>
    </rPh>
    <phoneticPr fontId="1"/>
  </si>
  <si>
    <t>外径</t>
    <rPh sb="0" eb="2">
      <t>ガイケイ</t>
    </rPh>
    <phoneticPr fontId="1"/>
  </si>
  <si>
    <t>VUφ50</t>
    <phoneticPr fontId="1"/>
  </si>
  <si>
    <t>VUφ75</t>
    <phoneticPr fontId="1"/>
  </si>
  <si>
    <t>VUφ100</t>
    <phoneticPr fontId="1"/>
  </si>
  <si>
    <t>VUφ150</t>
    <phoneticPr fontId="1"/>
  </si>
  <si>
    <t>VUφ200</t>
    <phoneticPr fontId="1"/>
  </si>
  <si>
    <t>VUφ250</t>
    <phoneticPr fontId="1"/>
  </si>
  <si>
    <t>VUφ300</t>
    <phoneticPr fontId="1"/>
  </si>
  <si>
    <t>VUφ350</t>
    <phoneticPr fontId="1"/>
  </si>
  <si>
    <t>VUφ400</t>
    <phoneticPr fontId="1"/>
  </si>
  <si>
    <t>施設個数</t>
    <rPh sb="0" eb="2">
      <t>シセツ</t>
    </rPh>
    <rPh sb="2" eb="4">
      <t>コスウ</t>
    </rPh>
    <phoneticPr fontId="1"/>
  </si>
  <si>
    <t>補正項目</t>
    <rPh sb="0" eb="2">
      <t>ホセイ</t>
    </rPh>
    <rPh sb="2" eb="4">
      <t>コウモク</t>
    </rPh>
    <phoneticPr fontId="1"/>
  </si>
  <si>
    <t>①(浸透ﾄﾚﾝﾁ)</t>
    <rPh sb="2" eb="4">
      <t>シントウ</t>
    </rPh>
    <phoneticPr fontId="1"/>
  </si>
  <si>
    <t>各桝浸透量</t>
    <rPh sb="0" eb="1">
      <t>カク</t>
    </rPh>
    <rPh sb="1" eb="2">
      <t>マス</t>
    </rPh>
    <rPh sb="2" eb="4">
      <t>シントウ</t>
    </rPh>
    <rPh sb="4" eb="5">
      <t>リョウ</t>
    </rPh>
    <phoneticPr fontId="1"/>
  </si>
  <si>
    <t>Qf</t>
    <phoneticPr fontId="1"/>
  </si>
  <si>
    <t>Qf*(3/2H+W)/(2H+W)</t>
    <phoneticPr fontId="1"/>
  </si>
  <si>
    <t>(H+W)/(2H+W)</t>
    <phoneticPr fontId="1"/>
  </si>
  <si>
    <t>Qf*(H+W)/(2H+W)</t>
    <phoneticPr fontId="1"/>
  </si>
  <si>
    <t>計算式</t>
    <rPh sb="0" eb="3">
      <t>ケイサンシキ</t>
    </rPh>
    <phoneticPr fontId="1"/>
  </si>
  <si>
    <t>総括流出係数 Ｃ＝</t>
    <phoneticPr fontId="1"/>
  </si>
  <si>
    <t>雨水対策量 Ｑ＝</t>
    <phoneticPr fontId="1"/>
  </si>
  <si>
    <t>平均降雨強度 Ｉ</t>
    <phoneticPr fontId="1"/>
  </si>
  <si>
    <t>建ぺい率から算出する場合</t>
    <rPh sb="0" eb="1">
      <t>ケン</t>
    </rPh>
    <rPh sb="3" eb="4">
      <t>リツ</t>
    </rPh>
    <rPh sb="6" eb="8">
      <t>サンシュツ</t>
    </rPh>
    <rPh sb="10" eb="12">
      <t>バアイ</t>
    </rPh>
    <phoneticPr fontId="1"/>
  </si>
  <si>
    <t>建ぺい率</t>
    <rPh sb="0" eb="1">
      <t>ケン</t>
    </rPh>
    <rPh sb="3" eb="4">
      <t>リツ</t>
    </rPh>
    <phoneticPr fontId="1"/>
  </si>
  <si>
    <t>桝径</t>
    <rPh sb="0" eb="1">
      <t>マス</t>
    </rPh>
    <rPh sb="1" eb="2">
      <t>ケイ</t>
    </rPh>
    <phoneticPr fontId="1"/>
  </si>
  <si>
    <t>桝深さ</t>
    <rPh sb="0" eb="1">
      <t>マス</t>
    </rPh>
    <rPh sb="1" eb="2">
      <t>フカ</t>
    </rPh>
    <phoneticPr fontId="1"/>
  </si>
  <si>
    <t>影響</t>
    <rPh sb="0" eb="2">
      <t>エイキョウ</t>
    </rPh>
    <phoneticPr fontId="1"/>
  </si>
  <si>
    <t>W≦1ｍ</t>
    <phoneticPr fontId="1"/>
  </si>
  <si>
    <t>1ｍ＜W≦10ｍ</t>
    <phoneticPr fontId="1"/>
  </si>
  <si>
    <r>
      <t>Ｋｆ＝aH</t>
    </r>
    <r>
      <rPr>
        <sz val="11"/>
        <color theme="1"/>
        <rFont val="ＭＳ ゴシック"/>
        <family val="3"/>
        <charset val="128"/>
      </rPr>
      <t>+b</t>
    </r>
    <phoneticPr fontId="1"/>
  </si>
  <si>
    <t>1.458W^2+1.27W+0.362</t>
    <phoneticPr fontId="1"/>
  </si>
  <si>
    <t>③正方形のます計算シート</t>
    <rPh sb="1" eb="4">
      <t>セイホウケイ</t>
    </rPh>
    <rPh sb="7" eb="9">
      <t>ケイサン</t>
    </rPh>
    <phoneticPr fontId="1"/>
  </si>
  <si>
    <t>-0.453W^2+8.289W+0.753</t>
    <phoneticPr fontId="1"/>
  </si>
  <si>
    <t>③(正方形桝)</t>
    <rPh sb="2" eb="5">
      <t>セイホウケイ</t>
    </rPh>
    <rPh sb="5" eb="6">
      <t>マス</t>
    </rPh>
    <phoneticPr fontId="1"/>
  </si>
  <si>
    <t>ｍ</t>
    <phoneticPr fontId="1"/>
  </si>
  <si>
    <t>L≦200ｍ</t>
    <phoneticPr fontId="1"/>
  </si>
  <si>
    <t>3.297L+(1.971W+4.663)</t>
    <phoneticPr fontId="1"/>
  </si>
  <si>
    <t>Ｌ施設延長</t>
    <rPh sb="3" eb="5">
      <t>エンチョウ</t>
    </rPh>
    <phoneticPr fontId="1"/>
  </si>
  <si>
    <t>(1.401W+0.684)L+(1.214W-0.834)</t>
    <phoneticPr fontId="1"/>
  </si>
  <si>
    <t>残地</t>
    <rPh sb="0" eb="1">
      <t>ノコ</t>
    </rPh>
    <rPh sb="1" eb="2">
      <t>チ</t>
    </rPh>
    <phoneticPr fontId="1"/>
  </si>
  <si>
    <t>％</t>
    <phoneticPr fontId="1"/>
  </si>
  <si>
    <t>　Ａ　雨水の対策量の算定</t>
    <rPh sb="3" eb="5">
      <t>ウスイ</t>
    </rPh>
    <rPh sb="6" eb="8">
      <t>タイサク</t>
    </rPh>
    <rPh sb="8" eb="9">
      <t>リョウ</t>
    </rPh>
    <rPh sb="10" eb="12">
      <t>サンテイ</t>
    </rPh>
    <phoneticPr fontId="1"/>
  </si>
  <si>
    <t>Ｂ　雨水の対策量の算定</t>
    <rPh sb="2" eb="4">
      <t>ウスイ</t>
    </rPh>
    <rPh sb="5" eb="7">
      <t>タイサク</t>
    </rPh>
    <rPh sb="7" eb="8">
      <t>リョウ</t>
    </rPh>
    <rPh sb="9" eb="11">
      <t>サンテイ</t>
    </rPh>
    <phoneticPr fontId="1"/>
  </si>
  <si>
    <t>0.5ｍ＜H≦5.0ｍ</t>
    <phoneticPr fontId="1"/>
  </si>
  <si>
    <t>1≦L/W≦5</t>
    <phoneticPr fontId="1"/>
  </si>
  <si>
    <t>上記の判定</t>
    <rPh sb="0" eb="2">
      <t>ジョウキ</t>
    </rPh>
    <rPh sb="3" eb="5">
      <t>ハンテイ</t>
    </rPh>
    <phoneticPr fontId="1"/>
  </si>
  <si>
    <t>Ｘ＝Ｌ/Ｗ</t>
    <phoneticPr fontId="1"/>
  </si>
  <si>
    <t>8.83X^-0.461</t>
    <phoneticPr fontId="1"/>
  </si>
  <si>
    <t>比例配分適用</t>
    <rPh sb="0" eb="2">
      <t>ヒレイ</t>
    </rPh>
    <rPh sb="2" eb="4">
      <t>ハイブン</t>
    </rPh>
    <rPh sb="4" eb="6">
      <t>テキヨウ</t>
    </rPh>
    <phoneticPr fontId="1"/>
  </si>
  <si>
    <t>①</t>
    <phoneticPr fontId="1"/>
  </si>
  <si>
    <t>②</t>
    <phoneticPr fontId="1"/>
  </si>
  <si>
    <t>Qf</t>
    <phoneticPr fontId="1"/>
  </si>
  <si>
    <t>a(計算式)</t>
    <rPh sb="2" eb="5">
      <t>ケイサンシキ</t>
    </rPh>
    <phoneticPr fontId="1"/>
  </si>
  <si>
    <t>a(計算結果)</t>
    <rPh sb="2" eb="4">
      <t>ケイサン</t>
    </rPh>
    <rPh sb="4" eb="6">
      <t>ケッカ</t>
    </rPh>
    <phoneticPr fontId="1"/>
  </si>
  <si>
    <t>b</t>
    <phoneticPr fontId="1"/>
  </si>
  <si>
    <t>Ｋｆ＝（aH+b）L</t>
    <phoneticPr fontId="1"/>
  </si>
  <si>
    <t>7.88X^-0.446</t>
    <phoneticPr fontId="1"/>
  </si>
  <si>
    <t>7.06X^-0.452</t>
    <phoneticPr fontId="1"/>
  </si>
  <si>
    <t>6.43X^-0.444</t>
    <phoneticPr fontId="1"/>
  </si>
  <si>
    <t>5.97X^-0.440</t>
    <phoneticPr fontId="1"/>
  </si>
  <si>
    <t>5.62X^-0.442</t>
    <phoneticPr fontId="1"/>
  </si>
  <si>
    <t>"10"</t>
    <phoneticPr fontId="1"/>
  </si>
  <si>
    <t>"5"</t>
    <phoneticPr fontId="1"/>
  </si>
  <si>
    <t>"20"</t>
    <phoneticPr fontId="1"/>
  </si>
  <si>
    <t>"30"</t>
    <phoneticPr fontId="1"/>
  </si>
  <si>
    <t>"40"</t>
    <phoneticPr fontId="1"/>
  </si>
  <si>
    <t>"50"</t>
    <phoneticPr fontId="1"/>
  </si>
  <si>
    <t>W≦5ｍ</t>
    <phoneticPr fontId="1"/>
  </si>
  <si>
    <t>備考</t>
    <rPh sb="0" eb="2">
      <t>ビコウ</t>
    </rPh>
    <phoneticPr fontId="1"/>
  </si>
  <si>
    <t>インターロッキング等</t>
    <rPh sb="9" eb="10">
      <t>ナド</t>
    </rPh>
    <phoneticPr fontId="1"/>
  </si>
  <si>
    <t>出典：公益社団法人　雨水貯留浸透技術協会、『増補改訂　雨水浸透施設技術指針[案]調査・計画編』、令和2年、p47</t>
    <rPh sb="0" eb="2">
      <t>シュッテン</t>
    </rPh>
    <rPh sb="3" eb="5">
      <t>コウエキ</t>
    </rPh>
    <rPh sb="5" eb="7">
      <t>シャダン</t>
    </rPh>
    <rPh sb="7" eb="9">
      <t>ホウジン</t>
    </rPh>
    <rPh sb="10" eb="12">
      <t>ウスイ</t>
    </rPh>
    <rPh sb="12" eb="14">
      <t>チョリュウ</t>
    </rPh>
    <rPh sb="14" eb="16">
      <t>シントウ</t>
    </rPh>
    <rPh sb="16" eb="18">
      <t>ギジュツ</t>
    </rPh>
    <rPh sb="18" eb="20">
      <t>キョウカイ</t>
    </rPh>
    <rPh sb="22" eb="23">
      <t>フ</t>
    </rPh>
    <rPh sb="24" eb="26">
      <t>カイテイ</t>
    </rPh>
    <rPh sb="27" eb="29">
      <t>ウスイ</t>
    </rPh>
    <rPh sb="29" eb="31">
      <t>シントウ</t>
    </rPh>
    <rPh sb="31" eb="33">
      <t>シセツ</t>
    </rPh>
    <rPh sb="33" eb="35">
      <t>ギジュツ</t>
    </rPh>
    <rPh sb="35" eb="37">
      <t>シシン</t>
    </rPh>
    <rPh sb="38" eb="39">
      <t>アン</t>
    </rPh>
    <rPh sb="40" eb="42">
      <t>チョウサ</t>
    </rPh>
    <rPh sb="43" eb="45">
      <t>ケイカク</t>
    </rPh>
    <rPh sb="45" eb="46">
      <t>ヘン</t>
    </rPh>
    <rPh sb="48" eb="49">
      <t>レイ</t>
    </rPh>
    <rPh sb="49" eb="50">
      <t>ワ</t>
    </rPh>
    <rPh sb="51" eb="52">
      <t>ネン</t>
    </rPh>
    <phoneticPr fontId="1"/>
  </si>
  <si>
    <t>出典：公益社団法人　雨水貯留浸透技術協会、『増補改訂　雨水浸透施設技術指針[案]調査・計画編』、令和2年、p51</t>
    <rPh sb="0" eb="2">
      <t>シュッテン</t>
    </rPh>
    <rPh sb="3" eb="5">
      <t>コウエキ</t>
    </rPh>
    <rPh sb="5" eb="7">
      <t>シャダン</t>
    </rPh>
    <rPh sb="7" eb="9">
      <t>ホウジン</t>
    </rPh>
    <rPh sb="10" eb="12">
      <t>ウスイ</t>
    </rPh>
    <rPh sb="12" eb="14">
      <t>チョリュウ</t>
    </rPh>
    <rPh sb="14" eb="16">
      <t>シントウ</t>
    </rPh>
    <rPh sb="16" eb="18">
      <t>ギジュツ</t>
    </rPh>
    <rPh sb="18" eb="20">
      <t>キョウカイ</t>
    </rPh>
    <rPh sb="22" eb="23">
      <t>フ</t>
    </rPh>
    <rPh sb="24" eb="26">
      <t>カイテイ</t>
    </rPh>
    <rPh sb="27" eb="29">
      <t>ウスイ</t>
    </rPh>
    <rPh sb="29" eb="31">
      <t>シントウ</t>
    </rPh>
    <rPh sb="31" eb="33">
      <t>シセツ</t>
    </rPh>
    <rPh sb="33" eb="35">
      <t>ギジュツ</t>
    </rPh>
    <rPh sb="35" eb="37">
      <t>シシン</t>
    </rPh>
    <rPh sb="38" eb="39">
      <t>アン</t>
    </rPh>
    <rPh sb="40" eb="42">
      <t>チョウサ</t>
    </rPh>
    <rPh sb="43" eb="45">
      <t>ケイカク</t>
    </rPh>
    <rPh sb="45" eb="46">
      <t>ヘン</t>
    </rPh>
    <rPh sb="48" eb="49">
      <t>レイ</t>
    </rPh>
    <rPh sb="49" eb="50">
      <t>ワ</t>
    </rPh>
    <rPh sb="51" eb="52">
      <t>ネン</t>
    </rPh>
    <phoneticPr fontId="1"/>
  </si>
  <si>
    <t>出典：公益社団法人　雨水貯留浸透技術協会、『増補改訂　雨水浸透施設技術指針[案]調査・計画編』、令和2年、p52</t>
    <rPh sb="0" eb="2">
      <t>シュッテン</t>
    </rPh>
    <rPh sb="3" eb="5">
      <t>コウエキ</t>
    </rPh>
    <rPh sb="5" eb="7">
      <t>シャダン</t>
    </rPh>
    <rPh sb="7" eb="9">
      <t>ホウジン</t>
    </rPh>
    <rPh sb="10" eb="12">
      <t>ウスイ</t>
    </rPh>
    <rPh sb="12" eb="14">
      <t>チョリュウ</t>
    </rPh>
    <rPh sb="14" eb="16">
      <t>シントウ</t>
    </rPh>
    <rPh sb="16" eb="18">
      <t>ギジュツ</t>
    </rPh>
    <rPh sb="18" eb="20">
      <t>キョウカイ</t>
    </rPh>
    <rPh sb="22" eb="23">
      <t>フ</t>
    </rPh>
    <rPh sb="24" eb="26">
      <t>カイテイ</t>
    </rPh>
    <rPh sb="27" eb="29">
      <t>ウスイ</t>
    </rPh>
    <rPh sb="29" eb="31">
      <t>シントウ</t>
    </rPh>
    <rPh sb="31" eb="33">
      <t>シセツ</t>
    </rPh>
    <rPh sb="33" eb="35">
      <t>ギジュツ</t>
    </rPh>
    <rPh sb="35" eb="37">
      <t>シシン</t>
    </rPh>
    <rPh sb="38" eb="39">
      <t>アン</t>
    </rPh>
    <rPh sb="40" eb="42">
      <t>チョウサ</t>
    </rPh>
    <rPh sb="43" eb="45">
      <t>ケイカク</t>
    </rPh>
    <rPh sb="45" eb="46">
      <t>ヘン</t>
    </rPh>
    <rPh sb="48" eb="49">
      <t>レイ</t>
    </rPh>
    <rPh sb="49" eb="50">
      <t>ワ</t>
    </rPh>
    <rPh sb="51" eb="52">
      <t>ネン</t>
    </rPh>
    <phoneticPr fontId="1"/>
  </si>
  <si>
    <t>②浸透トレンチ計算シート</t>
    <rPh sb="1" eb="3">
      <t>シントウ</t>
    </rPh>
    <rPh sb="7" eb="9">
      <t>ケイサン</t>
    </rPh>
    <phoneticPr fontId="1"/>
  </si>
  <si>
    <t>④正方形のます計算シート</t>
    <rPh sb="1" eb="4">
      <t>セイホウケイ</t>
    </rPh>
    <rPh sb="7" eb="9">
      <t>ケイサン</t>
    </rPh>
    <phoneticPr fontId="1"/>
  </si>
  <si>
    <t>⑤矩形のます計算シート</t>
    <rPh sb="1" eb="3">
      <t>クケイ</t>
    </rPh>
    <rPh sb="6" eb="8">
      <t>ケイサン</t>
    </rPh>
    <phoneticPr fontId="1"/>
  </si>
  <si>
    <t>出典：公益社団法人　雨水貯留浸透技術協会、『増補改訂　雨水浸透施設技術指針[案]調査・計画編』、令和2年、p52
※Ｈ、Ｗが1.5ｍを超える場合は「矩形のますおよび空隙貯留浸透施設」の計算式を用いる。</t>
    <rPh sb="0" eb="2">
      <t>シュッテン</t>
    </rPh>
    <rPh sb="3" eb="5">
      <t>コウエキ</t>
    </rPh>
    <rPh sb="5" eb="7">
      <t>シャダン</t>
    </rPh>
    <rPh sb="7" eb="9">
      <t>ホウジン</t>
    </rPh>
    <rPh sb="10" eb="12">
      <t>ウスイ</t>
    </rPh>
    <rPh sb="12" eb="14">
      <t>チョリュウ</t>
    </rPh>
    <rPh sb="14" eb="16">
      <t>シントウ</t>
    </rPh>
    <rPh sb="16" eb="18">
      <t>ギジュツ</t>
    </rPh>
    <rPh sb="18" eb="20">
      <t>キョウカイ</t>
    </rPh>
    <rPh sb="22" eb="23">
      <t>フ</t>
    </rPh>
    <rPh sb="24" eb="26">
      <t>カイテイ</t>
    </rPh>
    <rPh sb="27" eb="29">
      <t>ウスイ</t>
    </rPh>
    <rPh sb="29" eb="31">
      <t>シントウ</t>
    </rPh>
    <rPh sb="31" eb="33">
      <t>シセツ</t>
    </rPh>
    <rPh sb="33" eb="35">
      <t>ギジュツ</t>
    </rPh>
    <rPh sb="35" eb="37">
      <t>シシン</t>
    </rPh>
    <rPh sb="38" eb="39">
      <t>アン</t>
    </rPh>
    <rPh sb="40" eb="42">
      <t>チョウサ</t>
    </rPh>
    <rPh sb="43" eb="45">
      <t>ケイカク</t>
    </rPh>
    <rPh sb="45" eb="46">
      <t>ヘン</t>
    </rPh>
    <rPh sb="48" eb="49">
      <t>レイ</t>
    </rPh>
    <rPh sb="49" eb="50">
      <t>ワ</t>
    </rPh>
    <rPh sb="51" eb="52">
      <t>ネン</t>
    </rPh>
    <rPh sb="67" eb="68">
      <t>コ</t>
    </rPh>
    <rPh sb="70" eb="72">
      <t>バアイ</t>
    </rPh>
    <rPh sb="74" eb="76">
      <t>クケイ</t>
    </rPh>
    <rPh sb="82" eb="84">
      <t>クウゲキ</t>
    </rPh>
    <rPh sb="84" eb="86">
      <t>チョリュウ</t>
    </rPh>
    <rPh sb="86" eb="88">
      <t>シントウ</t>
    </rPh>
    <rPh sb="88" eb="90">
      <t>シセツ</t>
    </rPh>
    <rPh sb="92" eb="95">
      <t>ケイサンシキ</t>
    </rPh>
    <rPh sb="96" eb="97">
      <t>モチ</t>
    </rPh>
    <phoneticPr fontId="1"/>
  </si>
  <si>
    <t>⑥大型貯留槽計算シート</t>
    <rPh sb="1" eb="3">
      <t>オオガタ</t>
    </rPh>
    <rPh sb="3" eb="6">
      <t>チョリュウソウ</t>
    </rPh>
    <rPh sb="6" eb="8">
      <t>ケイサン</t>
    </rPh>
    <phoneticPr fontId="1"/>
  </si>
  <si>
    <t>基本式</t>
    <rPh sb="0" eb="2">
      <t>キホン</t>
    </rPh>
    <rPh sb="2" eb="3">
      <t>シキ</t>
    </rPh>
    <phoneticPr fontId="1"/>
  </si>
  <si>
    <t>透水管径</t>
    <rPh sb="0" eb="3">
      <t>トウスイカン</t>
    </rPh>
    <rPh sb="3" eb="4">
      <t>ケイ</t>
    </rPh>
    <phoneticPr fontId="1"/>
  </si>
  <si>
    <t>φ100～200</t>
    <phoneticPr fontId="1"/>
  </si>
  <si>
    <t>※ＨかＷのどちらかが1.5ｍより大きい場合に使用する。基本式は、「矩形のます」</t>
    <rPh sb="16" eb="17">
      <t>オオ</t>
    </rPh>
    <rPh sb="19" eb="21">
      <t>バアイ</t>
    </rPh>
    <rPh sb="22" eb="24">
      <t>シヨウ</t>
    </rPh>
    <rPh sb="27" eb="29">
      <t>キホン</t>
    </rPh>
    <rPh sb="29" eb="30">
      <t>シキ</t>
    </rPh>
    <rPh sb="33" eb="35">
      <t>クケイ</t>
    </rPh>
    <phoneticPr fontId="1"/>
  </si>
  <si>
    <t>「矩形のます」</t>
    <rPh sb="1" eb="3">
      <t>クケイ</t>
    </rPh>
    <phoneticPr fontId="1"/>
  </si>
  <si>
    <t>透水管の径</t>
    <rPh sb="0" eb="2">
      <t>トウスイ</t>
    </rPh>
    <rPh sb="2" eb="3">
      <t>カン</t>
    </rPh>
    <rPh sb="4" eb="5">
      <t>ケイ</t>
    </rPh>
    <phoneticPr fontId="1"/>
  </si>
  <si>
    <t>H≦5ｍ</t>
    <phoneticPr fontId="1"/>
  </si>
  <si>
    <t>H≦5.0ｍ</t>
    <phoneticPr fontId="1"/>
  </si>
  <si>
    <t>基準貯留量</t>
    <rPh sb="0" eb="5">
      <t>キジュンチョリュウリョウ</t>
    </rPh>
    <phoneticPr fontId="1"/>
  </si>
  <si>
    <t>各シートは保護されていますので計算式を変更するなどしたい場合はシートの保護解除をしてください。</t>
    <rPh sb="0" eb="1">
      <t>カク</t>
    </rPh>
    <rPh sb="5" eb="7">
      <t>ホゴ</t>
    </rPh>
    <rPh sb="15" eb="18">
      <t>ケイサンシキ</t>
    </rPh>
    <rPh sb="19" eb="21">
      <t>ヘンコウ</t>
    </rPh>
    <rPh sb="28" eb="30">
      <t>バアイ</t>
    </rPh>
    <rPh sb="35" eb="37">
      <t>ホゴ</t>
    </rPh>
    <rPh sb="37" eb="39">
      <t>カイジョ</t>
    </rPh>
    <phoneticPr fontId="1"/>
  </si>
  <si>
    <t>黄色い背景の部分に数字等を入力してご使用ください。</t>
    <phoneticPr fontId="1"/>
  </si>
  <si>
    <t>管種</t>
    <rPh sb="0" eb="1">
      <t>カン</t>
    </rPh>
    <rPh sb="1" eb="2">
      <t>タネ</t>
    </rPh>
    <phoneticPr fontId="1"/>
  </si>
  <si>
    <t>％</t>
    <phoneticPr fontId="1"/>
  </si>
  <si>
    <t>通常35％、二次製品使用時に変更</t>
    <rPh sb="0" eb="2">
      <t>ツウジョウ</t>
    </rPh>
    <rPh sb="6" eb="8">
      <t>ニジ</t>
    </rPh>
    <rPh sb="8" eb="10">
      <t>セイヒン</t>
    </rPh>
    <rPh sb="10" eb="13">
      <t>シヨウジ</t>
    </rPh>
    <rPh sb="14" eb="16">
      <t>ヘンコウ</t>
    </rPh>
    <phoneticPr fontId="1"/>
  </si>
  <si>
    <t>透水管本体の空体積＋砕石部等の体積＊空隙率</t>
    <rPh sb="0" eb="2">
      <t>トウスイ</t>
    </rPh>
    <rPh sb="2" eb="3">
      <t>カン</t>
    </rPh>
    <rPh sb="3" eb="5">
      <t>ホンタイ</t>
    </rPh>
    <rPh sb="6" eb="7">
      <t>カラ</t>
    </rPh>
    <rPh sb="7" eb="9">
      <t>タイセキ</t>
    </rPh>
    <rPh sb="10" eb="12">
      <t>サイセキ</t>
    </rPh>
    <rPh sb="12" eb="13">
      <t>ブ</t>
    </rPh>
    <rPh sb="13" eb="14">
      <t>トウ</t>
    </rPh>
    <rPh sb="15" eb="17">
      <t>タイセキ</t>
    </rPh>
    <rPh sb="18" eb="20">
      <t>クウゲキ</t>
    </rPh>
    <rPh sb="20" eb="21">
      <t>リツ</t>
    </rPh>
    <phoneticPr fontId="1"/>
  </si>
  <si>
    <t>通常35％、二次製品使用時に変更</t>
    <phoneticPr fontId="1"/>
  </si>
  <si>
    <t>％</t>
    <phoneticPr fontId="1"/>
  </si>
  <si>
    <t>通常35％、二次製品使用時に変更</t>
    <phoneticPr fontId="1"/>
  </si>
  <si>
    <t>桝本体の空体積＋砕石部等の体積</t>
    <rPh sb="0" eb="1">
      <t>マス</t>
    </rPh>
    <rPh sb="1" eb="3">
      <t>ホンタイ</t>
    </rPh>
    <rPh sb="4" eb="5">
      <t>カラ</t>
    </rPh>
    <rPh sb="5" eb="7">
      <t>タイセキ</t>
    </rPh>
    <rPh sb="8" eb="10">
      <t>サイセキ</t>
    </rPh>
    <rPh sb="10" eb="11">
      <t>ブ</t>
    </rPh>
    <rPh sb="11" eb="12">
      <t>トウ</t>
    </rPh>
    <rPh sb="13" eb="15">
      <t>タイセキ</t>
    </rPh>
    <phoneticPr fontId="1"/>
  </si>
  <si>
    <t>空隙率</t>
    <rPh sb="0" eb="2">
      <t>クウゲキ</t>
    </rPh>
    <rPh sb="2" eb="3">
      <t>リツ</t>
    </rPh>
    <phoneticPr fontId="1"/>
  </si>
  <si>
    <t>桝本体の空体積＋砕石部等の体積＊空隙率</t>
    <rPh sb="0" eb="1">
      <t>マス</t>
    </rPh>
    <rPh sb="1" eb="3">
      <t>ホンタイ</t>
    </rPh>
    <rPh sb="4" eb="5">
      <t>カラ</t>
    </rPh>
    <rPh sb="5" eb="7">
      <t>タイセキ</t>
    </rPh>
    <rPh sb="8" eb="10">
      <t>サイセキ</t>
    </rPh>
    <rPh sb="10" eb="11">
      <t>ブ</t>
    </rPh>
    <rPh sb="11" eb="12">
      <t>トウ</t>
    </rPh>
    <rPh sb="13" eb="15">
      <t>タイセキ</t>
    </rPh>
    <rPh sb="16" eb="18">
      <t>クウゲキ</t>
    </rPh>
    <rPh sb="18" eb="19">
      <t>リツ</t>
    </rPh>
    <phoneticPr fontId="1"/>
  </si>
  <si>
    <t>空隙率</t>
    <phoneticPr fontId="1"/>
  </si>
  <si>
    <t>雨水流出抑制施設台帳計算シートについて</t>
    <rPh sb="0" eb="2">
      <t>ウスイ</t>
    </rPh>
    <rPh sb="2" eb="4">
      <t>リュウシュツ</t>
    </rPh>
    <rPh sb="4" eb="6">
      <t>ヨクセイ</t>
    </rPh>
    <rPh sb="6" eb="8">
      <t>シセツ</t>
    </rPh>
    <rPh sb="8" eb="10">
      <t>ダイチョウ</t>
    </rPh>
    <rPh sb="10" eb="12">
      <t>ケイサン</t>
    </rPh>
    <phoneticPr fontId="1"/>
  </si>
  <si>
    <t>　なお、浸透桝の土被り部を考慮する場合は別途計算すること。</t>
    <rPh sb="4" eb="6">
      <t>シントウ</t>
    </rPh>
    <rPh sb="6" eb="7">
      <t>マス</t>
    </rPh>
    <rPh sb="13" eb="15">
      <t>コウリョ</t>
    </rPh>
    <rPh sb="17" eb="19">
      <t>バアイ</t>
    </rPh>
    <rPh sb="20" eb="22">
      <t>ベット</t>
    </rPh>
    <rPh sb="22" eb="24">
      <t>ケイサン</t>
    </rPh>
    <phoneticPr fontId="1"/>
  </si>
  <si>
    <t>　計算上、桝同士を繋ぐ有孔管は考慮していない。</t>
    <rPh sb="1" eb="4">
      <t>ケイサンジョウ</t>
    </rPh>
    <rPh sb="5" eb="6">
      <t>マス</t>
    </rPh>
    <rPh sb="6" eb="8">
      <t>ドウシ</t>
    </rPh>
    <rPh sb="9" eb="10">
      <t>ツナ</t>
    </rPh>
    <rPh sb="11" eb="14">
      <t>ユウコウカン</t>
    </rPh>
    <rPh sb="15" eb="17">
      <t>コウリョ</t>
    </rPh>
    <phoneticPr fontId="1"/>
  </si>
  <si>
    <t>※浸透桝本体の上端と砕石上端の高さが同じであることを想定している。</t>
    <rPh sb="1" eb="3">
      <t>シントウ</t>
    </rPh>
    <rPh sb="3" eb="4">
      <t>マス</t>
    </rPh>
    <rPh sb="4" eb="6">
      <t>ホンタイ</t>
    </rPh>
    <rPh sb="7" eb="8">
      <t>ウエ</t>
    </rPh>
    <rPh sb="8" eb="9">
      <t>ハシ</t>
    </rPh>
    <rPh sb="10" eb="12">
      <t>サイセキ</t>
    </rPh>
    <rPh sb="12" eb="13">
      <t>ウエ</t>
    </rPh>
    <rPh sb="13" eb="14">
      <t>ハシ</t>
    </rPh>
    <rPh sb="15" eb="16">
      <t>タカ</t>
    </rPh>
    <rPh sb="18" eb="19">
      <t>オナ</t>
    </rPh>
    <rPh sb="26" eb="28">
      <t>ソウテイ</t>
    </rPh>
    <phoneticPr fontId="1"/>
  </si>
  <si>
    <t>verR60801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</si>
</sst>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0"/>
    <numFmt numFmtId="177" formatCode="0.000_ "/>
    <numFmt numFmtId="178" formatCode="0.00_ "/>
    <numFmt numFmtId="179" formatCode="0.0"/>
    <numFmt numFmtId="180" formatCode="General&quot;㎡/hr&quot;"/>
    <numFmt numFmtId="181" formatCode="General&quot;㎥/hr&quot;"/>
    <numFmt numFmtId="182" formatCode="0&quot;個&quot;"/>
    <numFmt numFmtId="183" formatCode="0&quot;㎜/hr&quot;"/>
    <numFmt numFmtId="184" formatCode="General\%"/>
    <numFmt numFmtId="185" formatCode="&quot;W=&quot;General&quot;m&quot;"/>
    <numFmt numFmtId="186" formatCode="&quot;VUφ&quot;General"/>
  </numFmts>
  <fonts count="23">
    <font>
      <sz val="11"/>
      <color theme="1"/>
      <name val="ＭＳ ゴシック"/>
      <family val="2"/>
      <charset val="128"/>
    </font>
    <font>
      <sz val="6"/>
      <name val="ＭＳ ゴシック"/>
      <family val="2"/>
      <charset val="128"/>
    </font>
    <font>
      <vertAlign val="superscript"/>
      <sz val="11"/>
      <color theme="1"/>
      <name val="ＭＳ ゴシック"/>
      <family val="3"/>
      <charset val="128"/>
    </font>
    <font>
      <sz val="11"/>
      <color theme="1"/>
      <name val="ＭＳ ゴシック"/>
      <family val="3"/>
      <charset val="128"/>
    </font>
    <font>
      <b/>
      <sz val="11"/>
      <color theme="1"/>
      <name val="ＭＳ ゴシック"/>
      <family val="3"/>
      <charset val="128"/>
    </font>
    <font>
      <sz val="16"/>
      <color theme="1"/>
      <name val="ＭＳ ゴシック"/>
      <family val="2"/>
      <charset val="128"/>
    </font>
    <font>
      <b/>
      <sz val="16"/>
      <color theme="1"/>
      <name val="ＭＳ ゴシック"/>
      <family val="3"/>
      <charset val="128"/>
    </font>
    <font>
      <b/>
      <sz val="9"/>
      <color indexed="81"/>
      <name val="MS P ゴシック"/>
      <family val="3"/>
      <charset val="128"/>
    </font>
    <font>
      <sz val="10"/>
      <color theme="1"/>
      <name val="ＭＳ ゴシック"/>
      <family val="2"/>
      <charset val="128"/>
    </font>
    <font>
      <b/>
      <sz val="12"/>
      <color rgb="FFFF0000"/>
      <name val="ＭＳ ゴシック"/>
      <family val="3"/>
      <charset val="128"/>
    </font>
    <font>
      <sz val="11"/>
      <color rgb="FFFF0000"/>
      <name val="ＭＳ ゴシック"/>
      <family val="2"/>
      <charset val="128"/>
    </font>
    <font>
      <sz val="11"/>
      <color rgb="FFFF0000"/>
      <name val="ＭＳ ゴシック"/>
      <family val="3"/>
      <charset val="128"/>
    </font>
    <font>
      <b/>
      <sz val="11"/>
      <color rgb="FFFF0000"/>
      <name val="ＭＳ ゴシック"/>
      <family val="3"/>
      <charset val="128"/>
    </font>
    <font>
      <sz val="9"/>
      <color indexed="81"/>
      <name val="MS P ゴシック"/>
      <family val="3"/>
      <charset val="128"/>
    </font>
    <font>
      <sz val="9"/>
      <color theme="1"/>
      <name val="ＭＳ ゴシック"/>
      <family val="2"/>
      <charset val="128"/>
    </font>
    <font>
      <sz val="9"/>
      <color theme="1"/>
      <name val="ＭＳ ゴシック"/>
      <family val="3"/>
      <charset val="128"/>
    </font>
    <font>
      <sz val="11"/>
      <name val="ＭＳ ゴシック"/>
      <family val="2"/>
      <charset val="128"/>
    </font>
    <font>
      <sz val="11"/>
      <name val="ＭＳ ゴシック"/>
      <family val="3"/>
      <charset val="128"/>
    </font>
    <font>
      <sz val="12"/>
      <color theme="1"/>
      <name val="ＭＳ ゴシック"/>
      <family val="2"/>
      <charset val="128"/>
    </font>
    <font>
      <sz val="12"/>
      <color theme="1"/>
      <name val="ＭＳ ゴシック"/>
      <family val="3"/>
      <charset val="128"/>
    </font>
    <font>
      <b/>
      <sz val="14"/>
      <color theme="1"/>
      <name val="ＭＳ ゴシック"/>
      <family val="3"/>
      <charset val="128"/>
    </font>
    <font>
      <sz val="9"/>
      <color rgb="FFFF0000"/>
      <name val="ＭＳ ゴシック"/>
      <family val="2"/>
      <charset val="128"/>
    </font>
    <font>
      <sz val="9"/>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176" fontId="0" fillId="0" borderId="0" xfId="0" applyNumberForma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right" vertical="center"/>
    </xf>
    <xf numFmtId="0" fontId="0" fillId="0" borderId="5" xfId="0" applyBorder="1">
      <alignment vertical="center"/>
    </xf>
    <xf numFmtId="179" fontId="0" fillId="2" borderId="0" xfId="0" applyNumberFormat="1" applyFill="1">
      <alignment vertical="center"/>
    </xf>
    <xf numFmtId="0" fontId="4" fillId="0" borderId="0" xfId="0" applyFont="1">
      <alignment vertical="center"/>
    </xf>
    <xf numFmtId="176" fontId="3" fillId="0" borderId="0" xfId="0" applyNumberFormat="1" applyFont="1" applyAlignment="1">
      <alignment horizontal="right" vertical="center"/>
    </xf>
    <xf numFmtId="178" fontId="0" fillId="0" borderId="0" xfId="0" applyNumberFormat="1" applyAlignment="1">
      <alignment horizontal="right" vertical="center"/>
    </xf>
    <xf numFmtId="176" fontId="0" fillId="0" borderId="0" xfId="0" applyNumberFormat="1" applyAlignment="1">
      <alignment horizontal="righ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5" fillId="0" borderId="4" xfId="0" applyFont="1" applyBorder="1">
      <alignment vertical="center"/>
    </xf>
    <xf numFmtId="0" fontId="5" fillId="0" borderId="4" xfId="0" applyFont="1" applyBorder="1" applyAlignment="1">
      <alignment horizontal="center" vertical="center"/>
    </xf>
    <xf numFmtId="176" fontId="0" fillId="0" borderId="4" xfId="0" applyNumberFormat="1" applyBorder="1">
      <alignment vertical="center"/>
    </xf>
    <xf numFmtId="177" fontId="0" fillId="0" borderId="4" xfId="0" applyNumberFormat="1" applyBorder="1">
      <alignment vertical="center"/>
    </xf>
    <xf numFmtId="2" fontId="0" fillId="0" borderId="0" xfId="0" applyNumberFormat="1">
      <alignment vertical="center"/>
    </xf>
    <xf numFmtId="0" fontId="5" fillId="0" borderId="0" xfId="0" applyFont="1" applyAlignment="1">
      <alignment horizontal="center" vertical="center"/>
    </xf>
    <xf numFmtId="0" fontId="0" fillId="0" borderId="0" xfId="0" applyAlignment="1">
      <alignment horizontal="left" vertical="center"/>
    </xf>
    <xf numFmtId="177" fontId="0" fillId="0" borderId="0" xfId="0" applyNumberFormat="1">
      <alignmen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178" fontId="4" fillId="0" borderId="0" xfId="0" applyNumberFormat="1" applyFont="1" applyAlignment="1">
      <alignment horizontal="right" vertical="center"/>
    </xf>
    <xf numFmtId="0" fontId="3" fillId="0" borderId="0" xfId="0" applyFont="1">
      <alignment vertical="center"/>
    </xf>
    <xf numFmtId="0" fontId="4" fillId="0" borderId="9" xfId="0" applyFont="1" applyBorder="1">
      <alignment vertical="center"/>
    </xf>
    <xf numFmtId="0" fontId="4" fillId="0" borderId="9" xfId="0" applyFont="1" applyBorder="1" applyAlignment="1">
      <alignment horizontal="right" vertical="center"/>
    </xf>
    <xf numFmtId="176" fontId="4" fillId="0" borderId="9" xfId="0" applyNumberFormat="1" applyFont="1" applyBorder="1">
      <alignment vertical="center"/>
    </xf>
    <xf numFmtId="176" fontId="4" fillId="0" borderId="9" xfId="0" applyNumberFormat="1" applyFont="1" applyBorder="1" applyAlignment="1">
      <alignment horizontal="right" vertical="center"/>
    </xf>
    <xf numFmtId="0" fontId="6" fillId="0" borderId="0" xfId="0" applyFont="1">
      <alignment vertical="center"/>
    </xf>
    <xf numFmtId="179" fontId="0" fillId="0" borderId="0" xfId="0" applyNumberFormat="1">
      <alignment vertical="center"/>
    </xf>
    <xf numFmtId="0" fontId="0" fillId="0" borderId="10" xfId="0" applyBorder="1">
      <alignment vertical="center"/>
    </xf>
    <xf numFmtId="0" fontId="6" fillId="0" borderId="5" xfId="0" applyFont="1" applyBorder="1">
      <alignment vertical="center"/>
    </xf>
    <xf numFmtId="0" fontId="4" fillId="0" borderId="5" xfId="0" applyFont="1" applyBorder="1">
      <alignment vertical="center"/>
    </xf>
    <xf numFmtId="0" fontId="3" fillId="0" borderId="5" xfId="0" applyFont="1" applyBorder="1">
      <alignment vertical="center"/>
    </xf>
    <xf numFmtId="176" fontId="0" fillId="0" borderId="10" xfId="0" applyNumberFormat="1" applyBorder="1">
      <alignment vertical="center"/>
    </xf>
    <xf numFmtId="176" fontId="8" fillId="0" borderId="0" xfId="0" applyNumberFormat="1" applyFont="1">
      <alignment vertical="center"/>
    </xf>
    <xf numFmtId="0" fontId="3" fillId="0" borderId="10" xfId="0" applyFont="1" applyBorder="1">
      <alignment vertical="center"/>
    </xf>
    <xf numFmtId="2" fontId="0" fillId="0" borderId="10" xfId="0" applyNumberFormat="1" applyBorder="1">
      <alignment vertical="center"/>
    </xf>
    <xf numFmtId="2" fontId="3" fillId="0" borderId="10" xfId="0" applyNumberFormat="1" applyFont="1" applyBorder="1">
      <alignment vertical="center"/>
    </xf>
    <xf numFmtId="2" fontId="3" fillId="0" borderId="10" xfId="0" applyNumberFormat="1" applyFont="1" applyBorder="1" applyAlignment="1">
      <alignment horizontal="right" vertical="center"/>
    </xf>
    <xf numFmtId="180" fontId="4" fillId="0" borderId="9" xfId="0" applyNumberFormat="1" applyFont="1" applyBorder="1">
      <alignment vertical="center"/>
    </xf>
    <xf numFmtId="0" fontId="9" fillId="0" borderId="0" xfId="0" applyFont="1">
      <alignment vertical="center"/>
    </xf>
    <xf numFmtId="0" fontId="4" fillId="0" borderId="9" xfId="0" applyFont="1" applyBorder="1" applyAlignment="1">
      <alignment horizontal="center" vertical="center"/>
    </xf>
    <xf numFmtId="176" fontId="0" fillId="0" borderId="10" xfId="0" applyNumberFormat="1" applyBorder="1" applyAlignment="1">
      <alignment horizontal="right" vertical="center"/>
    </xf>
    <xf numFmtId="176" fontId="10" fillId="0" borderId="0" xfId="0" applyNumberFormat="1" applyFont="1">
      <alignment vertical="center"/>
    </xf>
    <xf numFmtId="176" fontId="11" fillId="0" borderId="0" xfId="0" applyNumberFormat="1" applyFont="1">
      <alignment vertical="center"/>
    </xf>
    <xf numFmtId="183" fontId="0" fillId="0" borderId="0" xfId="0" applyNumberFormat="1" applyAlignment="1">
      <alignment horizontal="left" vertical="center"/>
    </xf>
    <xf numFmtId="0" fontId="10" fillId="0" borderId="0" xfId="0" applyFont="1">
      <alignment vertical="center"/>
    </xf>
    <xf numFmtId="0" fontId="0" fillId="0" borderId="0" xfId="0" quotePrefix="1">
      <alignmen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184" fontId="0" fillId="0" borderId="10" xfId="0" applyNumberFormat="1" applyBorder="1">
      <alignment vertical="center"/>
    </xf>
    <xf numFmtId="0" fontId="12" fillId="0" borderId="0" xfId="0" applyFont="1">
      <alignment vertical="center"/>
    </xf>
    <xf numFmtId="0" fontId="0" fillId="0" borderId="10" xfId="0" quotePrefix="1" applyBorder="1">
      <alignment vertical="center"/>
    </xf>
    <xf numFmtId="0" fontId="10" fillId="3" borderId="10" xfId="0" applyFont="1" applyFill="1" applyBorder="1">
      <alignment vertical="center"/>
    </xf>
    <xf numFmtId="0" fontId="11" fillId="3" borderId="10" xfId="0" applyFont="1" applyFill="1" applyBorder="1">
      <alignment vertical="center"/>
    </xf>
    <xf numFmtId="182" fontId="10" fillId="0" borderId="0" xfId="0" applyNumberFormat="1" applyFont="1"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3" xfId="0" applyBorder="1">
      <alignment vertical="center"/>
    </xf>
    <xf numFmtId="0" fontId="0" fillId="0" borderId="14" xfId="0" applyBorder="1" applyAlignment="1">
      <alignment horizontal="right" vertical="center"/>
    </xf>
    <xf numFmtId="0" fontId="0" fillId="0" borderId="15" xfId="0" applyBorder="1">
      <alignment vertical="center"/>
    </xf>
    <xf numFmtId="0" fontId="0" fillId="0" borderId="14" xfId="0" applyBorder="1">
      <alignment vertical="center"/>
    </xf>
    <xf numFmtId="185" fontId="0" fillId="0" borderId="10" xfId="0" applyNumberFormat="1" applyBorder="1">
      <alignment vertical="center"/>
    </xf>
    <xf numFmtId="2" fontId="3" fillId="0" borderId="0" xfId="0" applyNumberFormat="1" applyFont="1">
      <alignment vertical="center"/>
    </xf>
    <xf numFmtId="2" fontId="3" fillId="0" borderId="0" xfId="0" applyNumberFormat="1" applyFont="1" applyAlignment="1">
      <alignment horizontal="right" vertical="center"/>
    </xf>
    <xf numFmtId="186" fontId="0" fillId="0" borderId="0" xfId="0" applyNumberFormat="1" applyAlignment="1">
      <alignment horizontal="left" vertical="center"/>
    </xf>
    <xf numFmtId="176" fontId="0" fillId="0" borderId="0" xfId="0" quotePrefix="1" applyNumberFormat="1">
      <alignment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4" fillId="2" borderId="9" xfId="0" applyFont="1" applyFill="1" applyBorder="1" applyProtection="1">
      <alignment vertical="center"/>
      <protection locked="0"/>
    </xf>
    <xf numFmtId="0" fontId="0" fillId="2" borderId="10" xfId="0" applyFill="1" applyBorder="1" applyProtection="1">
      <alignment vertical="center"/>
      <protection locked="0"/>
    </xf>
    <xf numFmtId="176" fontId="0" fillId="2" borderId="10" xfId="0" applyNumberFormat="1" applyFill="1" applyBorder="1" applyProtection="1">
      <alignment vertical="center"/>
      <protection locked="0"/>
    </xf>
    <xf numFmtId="179" fontId="0" fillId="2" borderId="0" xfId="0" applyNumberFormat="1" applyFill="1" applyProtection="1">
      <alignment vertical="center"/>
      <protection locked="0"/>
    </xf>
    <xf numFmtId="176" fontId="0" fillId="2" borderId="0" xfId="0" applyNumberFormat="1" applyFill="1" applyProtection="1">
      <alignment vertical="center"/>
      <protection locked="0"/>
    </xf>
    <xf numFmtId="0" fontId="16" fillId="0" borderId="0" xfId="0" applyFont="1">
      <alignment vertical="center"/>
    </xf>
    <xf numFmtId="2" fontId="0" fillId="2" borderId="0" xfId="0" applyNumberFormat="1" applyFill="1" applyProtection="1">
      <alignment vertical="center"/>
      <protection locked="0"/>
    </xf>
    <xf numFmtId="0" fontId="0" fillId="2" borderId="0" xfId="0" applyFill="1" applyProtection="1">
      <alignment vertical="center"/>
      <protection locked="0"/>
    </xf>
    <xf numFmtId="182" fontId="0" fillId="2" borderId="10" xfId="0" applyNumberFormat="1" applyFill="1" applyBorder="1" applyAlignment="1" applyProtection="1">
      <alignment horizontal="right" vertical="center"/>
      <protection locked="0"/>
    </xf>
    <xf numFmtId="0" fontId="17" fillId="0" borderId="0" xfId="0" applyFont="1">
      <alignment vertical="center"/>
    </xf>
    <xf numFmtId="179" fontId="17" fillId="0" borderId="0" xfId="0" applyNumberFormat="1"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0" fillId="0" borderId="0" xfId="0" applyBorder="1">
      <alignment vertical="center"/>
    </xf>
    <xf numFmtId="2" fontId="3" fillId="0" borderId="0" xfId="0" applyNumberFormat="1" applyFont="1" applyBorder="1" applyAlignment="1">
      <alignment horizontal="right" vertical="center"/>
    </xf>
    <xf numFmtId="0" fontId="20" fillId="0" borderId="0" xfId="0" applyFont="1">
      <alignment vertical="center"/>
    </xf>
    <xf numFmtId="2" fontId="0" fillId="2" borderId="0" xfId="0" applyNumberFormat="1" applyFill="1">
      <alignment vertical="center"/>
    </xf>
    <xf numFmtId="0" fontId="21" fillId="0" borderId="4" xfId="0" applyFont="1" applyBorder="1">
      <alignment vertical="center"/>
    </xf>
    <xf numFmtId="0" fontId="22" fillId="0" borderId="4" xfId="0" applyFont="1" applyBorder="1">
      <alignment vertical="center"/>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181" fontId="4" fillId="0" borderId="9" xfId="0" applyNumberFormat="1" applyFont="1" applyBorder="1" applyAlignment="1">
      <alignment horizontal="left" vertical="center"/>
    </xf>
    <xf numFmtId="176" fontId="4" fillId="0" borderId="10" xfId="0" applyNumberFormat="1" applyFont="1" applyBorder="1" applyAlignment="1">
      <alignment horizontal="center" vertical="center"/>
    </xf>
    <xf numFmtId="0" fontId="14" fillId="0" borderId="4" xfId="0" applyFont="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4" fillId="0" borderId="4" xfId="0" applyFont="1" applyBorder="1" applyAlignment="1">
      <alignment horizontal="center" vertical="center" wrapText="1"/>
    </xf>
    <xf numFmtId="0" fontId="14" fillId="0" borderId="4" xfId="0" applyFont="1" applyBorder="1" applyAlignment="1">
      <alignment horizontal="left" vertical="center"/>
    </xf>
    <xf numFmtId="0" fontId="15" fillId="0" borderId="0" xfId="0" applyFont="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589643</xdr:colOff>
      <xdr:row>40</xdr:row>
      <xdr:rowOff>45358</xdr:rowOff>
    </xdr:from>
    <xdr:to>
      <xdr:col>13</xdr:col>
      <xdr:colOff>260804</xdr:colOff>
      <xdr:row>45</xdr:row>
      <xdr:rowOff>136073</xdr:rowOff>
    </xdr:to>
    <xdr:sp macro="" textlink="">
      <xdr:nvSpPr>
        <xdr:cNvPr id="4" name="正方形/長方形 3">
          <a:extLst>
            <a:ext uri="{FF2B5EF4-FFF2-40B4-BE49-F238E27FC236}">
              <a16:creationId xmlns:a16="http://schemas.microsoft.com/office/drawing/2014/main" id="{E53D1F87-F2CC-4D31-A04E-7F6C22949D63}"/>
            </a:ext>
          </a:extLst>
        </xdr:cNvPr>
        <xdr:cNvSpPr/>
      </xdr:nvSpPr>
      <xdr:spPr>
        <a:xfrm>
          <a:off x="8617857" y="7109733"/>
          <a:ext cx="3050268" cy="941161"/>
        </a:xfrm>
        <a:prstGeom prst="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この部分が合格か不合格かを</a:t>
          </a:r>
          <a:endParaRPr kumimoji="1" lang="en-US" altLang="ja-JP" sz="1100"/>
        </a:p>
        <a:p>
          <a:pPr algn="l"/>
          <a:r>
            <a:rPr kumimoji="1" lang="ja-JP" altLang="en-US" sz="1100"/>
            <a:t>ご確認ください。</a:t>
          </a:r>
          <a:endParaRPr kumimoji="1" lang="en-US" altLang="ja-JP" sz="1100"/>
        </a:p>
      </xdr:txBody>
    </xdr:sp>
    <xdr:clientData/>
  </xdr:twoCellAnchor>
  <xdr:twoCellAnchor>
    <xdr:from>
      <xdr:col>8</xdr:col>
      <xdr:colOff>623661</xdr:colOff>
      <xdr:row>43</xdr:row>
      <xdr:rowOff>5671</xdr:rowOff>
    </xdr:from>
    <xdr:to>
      <xdr:col>9</xdr:col>
      <xdr:colOff>589643</xdr:colOff>
      <xdr:row>47</xdr:row>
      <xdr:rowOff>22679</xdr:rowOff>
    </xdr:to>
    <xdr:cxnSp macro="">
      <xdr:nvCxnSpPr>
        <xdr:cNvPr id="5" name="直線矢印コネクタ 4">
          <a:extLst>
            <a:ext uri="{FF2B5EF4-FFF2-40B4-BE49-F238E27FC236}">
              <a16:creationId xmlns:a16="http://schemas.microsoft.com/office/drawing/2014/main" id="{BE56704B-1D60-4D06-9C3E-1A0536079B14}"/>
            </a:ext>
          </a:extLst>
        </xdr:cNvPr>
        <xdr:cNvCxnSpPr>
          <a:stCxn id="4" idx="1"/>
        </xdr:cNvCxnSpPr>
      </xdr:nvCxnSpPr>
      <xdr:spPr>
        <a:xfrm flipH="1">
          <a:off x="7597322" y="7580314"/>
          <a:ext cx="1020535" cy="6973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345167</xdr:colOff>
      <xdr:row>41</xdr:row>
      <xdr:rowOff>129721</xdr:rowOff>
    </xdr:from>
    <xdr:to>
      <xdr:col>13</xdr:col>
      <xdr:colOff>209095</xdr:colOff>
      <xdr:row>47</xdr:row>
      <xdr:rowOff>50346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713560" y="7352846"/>
          <a:ext cx="2789464" cy="941161"/>
        </a:xfrm>
        <a:prstGeom prst="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この部分が合格か不合格かを</a:t>
          </a:r>
          <a:endParaRPr kumimoji="1" lang="en-US" altLang="ja-JP" sz="1100"/>
        </a:p>
        <a:p>
          <a:pPr algn="l"/>
          <a:r>
            <a:rPr kumimoji="1" lang="ja-JP" altLang="en-US" sz="1100"/>
            <a:t>ご確認ください。</a:t>
          </a:r>
          <a:endParaRPr kumimoji="1" lang="en-US" altLang="ja-JP" sz="1100"/>
        </a:p>
      </xdr:txBody>
    </xdr:sp>
    <xdr:clientData/>
  </xdr:twoCellAnchor>
  <xdr:twoCellAnchor>
    <xdr:from>
      <xdr:col>9</xdr:col>
      <xdr:colOff>4989</xdr:colOff>
      <xdr:row>44</xdr:row>
      <xdr:rowOff>90034</xdr:rowOff>
    </xdr:from>
    <xdr:to>
      <xdr:col>10</xdr:col>
      <xdr:colOff>345167</xdr:colOff>
      <xdr:row>48</xdr:row>
      <xdr:rowOff>107042</xdr:rowOff>
    </xdr:to>
    <xdr:cxnSp macro="">
      <xdr:nvCxnSpPr>
        <xdr:cNvPr id="8" name="直線矢印コネクタ 7">
          <a:extLst>
            <a:ext uri="{FF2B5EF4-FFF2-40B4-BE49-F238E27FC236}">
              <a16:creationId xmlns:a16="http://schemas.microsoft.com/office/drawing/2014/main" id="{00000000-0008-0000-0200-000008000000}"/>
            </a:ext>
          </a:extLst>
        </xdr:cNvPr>
        <xdr:cNvCxnSpPr>
          <a:stCxn id="7" idx="1"/>
        </xdr:cNvCxnSpPr>
      </xdr:nvCxnSpPr>
      <xdr:spPr>
        <a:xfrm flipH="1">
          <a:off x="7693025" y="7823427"/>
          <a:ext cx="1020535" cy="6973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1013190</xdr:colOff>
      <xdr:row>40</xdr:row>
      <xdr:rowOff>115139</xdr:rowOff>
    </xdr:from>
    <xdr:to>
      <xdr:col>7</xdr:col>
      <xdr:colOff>41867</xdr:colOff>
      <xdr:row>58</xdr:row>
      <xdr:rowOff>46465</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3464" y="7258889"/>
          <a:ext cx="3791177" cy="3067606"/>
        </a:xfrm>
        <a:prstGeom prst="rect">
          <a:avLst/>
        </a:prstGeom>
      </xdr:spPr>
    </xdr:pic>
    <xdr:clientData/>
  </xdr:twoCellAnchor>
  <xdr:twoCellAnchor>
    <xdr:from>
      <xdr:col>7</xdr:col>
      <xdr:colOff>186747</xdr:colOff>
      <xdr:row>16</xdr:row>
      <xdr:rowOff>115009</xdr:rowOff>
    </xdr:from>
    <xdr:to>
      <xdr:col>13</xdr:col>
      <xdr:colOff>348986</xdr:colOff>
      <xdr:row>20</xdr:row>
      <xdr:rowOff>87311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029521" y="3077052"/>
          <a:ext cx="3635380" cy="669253"/>
        </a:xfrm>
        <a:prstGeom prst="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下図の「浸透桝の種類について」を確認して頂き、</a:t>
          </a:r>
          <a:endParaRPr kumimoji="1" lang="en-US" altLang="ja-JP" sz="1100"/>
        </a:p>
        <a:p>
          <a:pPr algn="l"/>
          <a:r>
            <a:rPr kumimoji="1" lang="ja-JP" altLang="en-US" sz="1100"/>
            <a:t>該当の桝の個数を入力ください。</a:t>
          </a:r>
          <a:endParaRPr kumimoji="1" lang="en-US" altLang="ja-JP" sz="1100"/>
        </a:p>
      </xdr:txBody>
    </xdr:sp>
    <xdr:clientData/>
  </xdr:twoCellAnchor>
  <xdr:twoCellAnchor>
    <xdr:from>
      <xdr:col>5</xdr:col>
      <xdr:colOff>657510</xdr:colOff>
      <xdr:row>18</xdr:row>
      <xdr:rowOff>104543</xdr:rowOff>
    </xdr:from>
    <xdr:to>
      <xdr:col>7</xdr:col>
      <xdr:colOff>186747</xdr:colOff>
      <xdr:row>23</xdr:row>
      <xdr:rowOff>110648</xdr:rowOff>
    </xdr:to>
    <xdr:cxnSp macro="">
      <xdr:nvCxnSpPr>
        <xdr:cNvPr id="4" name="直線矢印コネクタ 3">
          <a:extLst>
            <a:ext uri="{FF2B5EF4-FFF2-40B4-BE49-F238E27FC236}">
              <a16:creationId xmlns:a16="http://schemas.microsoft.com/office/drawing/2014/main" id="{00000000-0008-0000-0700-000004000000}"/>
            </a:ext>
          </a:extLst>
        </xdr:cNvPr>
        <xdr:cNvCxnSpPr>
          <a:stCxn id="3" idx="1"/>
        </xdr:cNvCxnSpPr>
      </xdr:nvCxnSpPr>
      <xdr:spPr>
        <a:xfrm flipH="1">
          <a:off x="5001839" y="3415061"/>
          <a:ext cx="1027682" cy="87729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857016</xdr:colOff>
      <xdr:row>40</xdr:row>
      <xdr:rowOff>136072</xdr:rowOff>
    </xdr:from>
    <xdr:to>
      <xdr:col>6</xdr:col>
      <xdr:colOff>73268</xdr:colOff>
      <xdr:row>58</xdr:row>
      <xdr:rowOff>157007</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5587" y="6991979"/>
          <a:ext cx="3905483" cy="3035440"/>
        </a:xfrm>
        <a:prstGeom prst="rect">
          <a:avLst/>
        </a:prstGeom>
      </xdr:spPr>
    </xdr:pic>
    <xdr:clientData/>
  </xdr:twoCellAnchor>
  <xdr:twoCellAnchor>
    <xdr:from>
      <xdr:col>7</xdr:col>
      <xdr:colOff>235508</xdr:colOff>
      <xdr:row>17</xdr:row>
      <xdr:rowOff>52335</xdr:rowOff>
    </xdr:from>
    <xdr:to>
      <xdr:col>13</xdr:col>
      <xdr:colOff>397747</xdr:colOff>
      <xdr:row>21</xdr:row>
      <xdr:rowOff>31401</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750608" y="3109860"/>
          <a:ext cx="3448364" cy="664866"/>
        </a:xfrm>
        <a:prstGeom prst="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下図の「浸透桝の種類について」を確認して頂き、</a:t>
          </a:r>
          <a:endParaRPr kumimoji="1" lang="en-US" altLang="ja-JP" sz="1100"/>
        </a:p>
        <a:p>
          <a:pPr algn="l"/>
          <a:r>
            <a:rPr kumimoji="1" lang="ja-JP" altLang="en-US" sz="1100"/>
            <a:t>該当の桝の個数を入力ください。</a:t>
          </a:r>
          <a:endParaRPr kumimoji="1" lang="en-US" altLang="ja-JP" sz="1100"/>
        </a:p>
      </xdr:txBody>
    </xdr:sp>
    <xdr:clientData/>
  </xdr:twoCellAnchor>
  <xdr:twoCellAnchor>
    <xdr:from>
      <xdr:col>6</xdr:col>
      <xdr:colOff>20935</xdr:colOff>
      <xdr:row>19</xdr:row>
      <xdr:rowOff>41868</xdr:rowOff>
    </xdr:from>
    <xdr:to>
      <xdr:col>7</xdr:col>
      <xdr:colOff>235508</xdr:colOff>
      <xdr:row>24</xdr:row>
      <xdr:rowOff>47973</xdr:rowOff>
    </xdr:to>
    <xdr:cxnSp macro="">
      <xdr:nvCxnSpPr>
        <xdr:cNvPr id="4" name="直線矢印コネクタ 3">
          <a:extLst>
            <a:ext uri="{FF2B5EF4-FFF2-40B4-BE49-F238E27FC236}">
              <a16:creationId xmlns:a16="http://schemas.microsoft.com/office/drawing/2014/main" id="{00000000-0008-0000-0900-000004000000}"/>
            </a:ext>
          </a:extLst>
        </xdr:cNvPr>
        <xdr:cNvCxnSpPr>
          <a:stCxn id="3" idx="1"/>
        </xdr:cNvCxnSpPr>
      </xdr:nvCxnSpPr>
      <xdr:spPr>
        <a:xfrm flipH="1">
          <a:off x="5726410" y="3442293"/>
          <a:ext cx="1024198" cy="8633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8"/>
  <sheetViews>
    <sheetView tabSelected="1" view="pageBreakPreview" zoomScale="91" zoomScaleNormal="100" zoomScaleSheetLayoutView="91" workbookViewId="0">
      <selection activeCell="F5" sqref="F5"/>
    </sheetView>
  </sheetViews>
  <sheetFormatPr defaultRowHeight="13.5"/>
  <cols>
    <col min="1" max="1" width="3.375" customWidth="1"/>
    <col min="2" max="2" width="2.125" customWidth="1"/>
    <col min="3" max="3" width="104.875" bestFit="1" customWidth="1"/>
  </cols>
  <sheetData>
    <row r="1" spans="1:5">
      <c r="E1" t="s">
        <v>184</v>
      </c>
    </row>
    <row r="2" spans="1:5" ht="17.25">
      <c r="C2" s="93" t="s">
        <v>180</v>
      </c>
    </row>
    <row r="4" spans="1:5" ht="18.75" customHeight="1">
      <c r="A4" s="88">
        <v>1</v>
      </c>
      <c r="B4" s="88"/>
      <c r="C4" s="88" t="s">
        <v>167</v>
      </c>
    </row>
    <row r="5" spans="1:5" ht="18.75" customHeight="1">
      <c r="A5" s="89"/>
      <c r="B5" s="89"/>
      <c r="C5" s="89"/>
    </row>
    <row r="6" spans="1:5" ht="18.75" customHeight="1">
      <c r="A6" s="89">
        <v>2</v>
      </c>
      <c r="B6" s="89"/>
      <c r="C6" s="90" t="s">
        <v>168</v>
      </c>
    </row>
    <row r="7" spans="1:5" ht="60" customHeight="1"/>
    <row r="8" spans="1:5" ht="60" customHeight="1"/>
  </sheetData>
  <sheetProtection sheet="1" objects="1" scenarios="1"/>
  <phoneticPr fontId="1"/>
  <pageMargins left="0.7" right="0.7" top="0.75" bottom="0.75" header="0.3" footer="0.3"/>
  <pageSetup paperSize="9" scale="71" orientation="portrait" horizontalDpi="4294967293"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64"/>
  <sheetViews>
    <sheetView view="pageBreakPreview" topLeftCell="C1" zoomScale="91" zoomScaleNormal="100" zoomScaleSheetLayoutView="91" workbookViewId="0">
      <selection activeCell="N22" sqref="N22"/>
    </sheetView>
  </sheetViews>
  <sheetFormatPr defaultRowHeight="13.5"/>
  <cols>
    <col min="1" max="1" width="5.25" customWidth="1"/>
    <col min="3" max="3" width="15" bestFit="1" customWidth="1"/>
    <col min="4" max="4" width="17.75" customWidth="1"/>
    <col min="5" max="5" width="8.25" customWidth="1"/>
    <col min="7" max="7" width="8.375" customWidth="1"/>
    <col min="8" max="9" width="6.25" customWidth="1"/>
    <col min="10" max="10" width="9.5" customWidth="1"/>
    <col min="11" max="11" width="3.125" customWidth="1"/>
    <col min="14" max="14" width="17.25" bestFit="1" customWidth="1"/>
    <col min="15" max="15" width="13.875" bestFit="1" customWidth="1"/>
    <col min="16" max="16" width="12.75" bestFit="1" customWidth="1"/>
    <col min="17" max="17" width="7.125" customWidth="1"/>
    <col min="18" max="18" width="17.25" bestFit="1" customWidth="1"/>
  </cols>
  <sheetData>
    <row r="1" spans="2:18" ht="14.25" thickBot="1"/>
    <row r="2" spans="2:18">
      <c r="B2" s="2"/>
      <c r="C2" s="3"/>
      <c r="D2" s="3"/>
      <c r="E2" s="3"/>
      <c r="F2" s="3"/>
      <c r="G2" s="3"/>
      <c r="H2" s="3"/>
      <c r="I2" s="3"/>
      <c r="J2" s="4"/>
    </row>
    <row r="3" spans="2:18" ht="18.75">
      <c r="B3" s="112" t="s">
        <v>157</v>
      </c>
      <c r="C3" s="113"/>
      <c r="D3" s="113"/>
      <c r="E3" s="113"/>
      <c r="F3" s="113"/>
      <c r="G3" s="113"/>
      <c r="H3" s="113"/>
      <c r="I3" s="113"/>
      <c r="J3" s="114"/>
      <c r="N3" s="59" t="s">
        <v>128</v>
      </c>
      <c r="O3" s="60"/>
    </row>
    <row r="4" spans="2:18" ht="18.75">
      <c r="B4" s="17"/>
      <c r="C4" s="21"/>
      <c r="D4" s="21"/>
      <c r="E4" s="21"/>
      <c r="F4" s="21"/>
      <c r="G4" s="21"/>
      <c r="H4" s="21"/>
      <c r="I4" s="21"/>
      <c r="J4" s="7"/>
      <c r="N4" s="60" t="s">
        <v>129</v>
      </c>
      <c r="O4" s="68" t="str">
        <f>IF(D7&lt;=5,"1",(IF(D7&lt;=10,"5",(IF(D7&lt;=20,"10",(IF(D7&lt;=30,"20",(IF(D7&lt;=40,"30",(IF(D7&lt;50,"40",(IF(D7=50,"50","適用範囲確認")))))))))))))</f>
        <v>5</v>
      </c>
    </row>
    <row r="5" spans="2:18">
      <c r="B5" s="18"/>
      <c r="C5" t="s">
        <v>50</v>
      </c>
      <c r="D5" s="8">
        <v>1.17</v>
      </c>
      <c r="E5" t="s">
        <v>14</v>
      </c>
      <c r="F5" s="51" t="s">
        <v>123</v>
      </c>
      <c r="G5" s="48"/>
      <c r="H5" s="49"/>
      <c r="I5" s="49"/>
      <c r="J5" s="7"/>
      <c r="N5" s="60" t="s">
        <v>130</v>
      </c>
      <c r="O5" s="68" t="str">
        <f>IF(D7=1,"1",(IF(D7&lt;=5,"5",(IF(D7&lt;=10,"10",(IF(D7&lt;=20,"20",(IF(D7&lt;=30,"30",(IF(D7&lt;=40,"40",(IF(D7&lt;50,"50",(IF(D7=50,"50","適用範囲確認")))))))))))))))</f>
        <v>10</v>
      </c>
    </row>
    <row r="6" spans="2:18">
      <c r="B6" s="5"/>
      <c r="C6" t="s">
        <v>117</v>
      </c>
      <c r="D6" s="94">
        <v>10.08</v>
      </c>
      <c r="E6" t="s">
        <v>114</v>
      </c>
      <c r="F6" s="51"/>
      <c r="G6" s="48"/>
      <c r="J6" s="7"/>
    </row>
    <row r="7" spans="2:18">
      <c r="B7" s="18"/>
      <c r="C7" t="s">
        <v>49</v>
      </c>
      <c r="D7" s="94">
        <v>9.36</v>
      </c>
      <c r="E7" t="s">
        <v>14</v>
      </c>
      <c r="F7" s="51"/>
      <c r="G7" s="12"/>
      <c r="J7" s="7"/>
      <c r="N7" s="34"/>
      <c r="O7" s="34" t="s">
        <v>132</v>
      </c>
      <c r="P7" s="34" t="s">
        <v>133</v>
      </c>
      <c r="Q7" s="34" t="s">
        <v>134</v>
      </c>
      <c r="R7" s="34" t="s">
        <v>135</v>
      </c>
    </row>
    <row r="8" spans="2:18">
      <c r="B8" s="5"/>
      <c r="C8" t="s">
        <v>126</v>
      </c>
      <c r="D8">
        <f>ROUNDDOWN(D6/D7,3)</f>
        <v>1.0760000000000001</v>
      </c>
      <c r="F8" s="51" t="s">
        <v>124</v>
      </c>
      <c r="H8" s="57"/>
      <c r="J8" s="7"/>
      <c r="N8" s="68" t="s">
        <v>142</v>
      </c>
      <c r="O8" s="58" t="s">
        <v>127</v>
      </c>
      <c r="P8" s="38">
        <f>ROUNDDOWN(8.83*(D8^-0.461),3)</f>
        <v>8.5359999999999996</v>
      </c>
      <c r="Q8" s="34">
        <v>7.03</v>
      </c>
      <c r="R8" s="34">
        <f>ROUNDDOWN((P8*D5+Q8)*D6,3)</f>
        <v>171.53200000000001</v>
      </c>
    </row>
    <row r="9" spans="2:18">
      <c r="B9" s="5"/>
      <c r="C9" t="s">
        <v>125</v>
      </c>
      <c r="D9" s="24" t="str">
        <f>IF(AND(1&lt;=D8,D8&lt;=5),"適用可能","適用範囲外！！")</f>
        <v>適用可能</v>
      </c>
      <c r="F9" s="51"/>
      <c r="H9" s="57"/>
      <c r="J9" s="7"/>
      <c r="N9" s="68" t="s">
        <v>141</v>
      </c>
      <c r="O9" s="58" t="s">
        <v>136</v>
      </c>
      <c r="P9" s="38">
        <f>ROUNDDOWN(7.88*(D8^-0.446),3)</f>
        <v>7.6260000000000003</v>
      </c>
      <c r="Q9" s="34">
        <v>14</v>
      </c>
      <c r="R9" s="34">
        <f>ROUNDDOWN((P9*D5+Q9)*D6,3)</f>
        <v>231.05699999999999</v>
      </c>
    </row>
    <row r="10" spans="2:18">
      <c r="B10" s="5"/>
      <c r="J10" s="7"/>
      <c r="N10" s="68" t="s">
        <v>143</v>
      </c>
      <c r="O10" s="58" t="s">
        <v>137</v>
      </c>
      <c r="P10" s="38">
        <f>ROUNDDOWN(7.06*(D8^-0.452),3)</f>
        <v>6.83</v>
      </c>
      <c r="Q10" s="34">
        <v>27.06</v>
      </c>
      <c r="R10" s="34">
        <f>ROUNDDOWN((P10*D5+Q10)*D6,3)</f>
        <v>353.315</v>
      </c>
    </row>
    <row r="11" spans="2:18">
      <c r="B11" s="5"/>
      <c r="C11" s="34"/>
      <c r="D11" s="34"/>
      <c r="E11" s="34"/>
      <c r="F11" s="34"/>
      <c r="G11" s="47"/>
      <c r="J11" s="7"/>
      <c r="N11" s="68" t="s">
        <v>144</v>
      </c>
      <c r="O11" s="58" t="s">
        <v>138</v>
      </c>
      <c r="P11" s="34">
        <f>ROUNDDOWN(6.43*(D8^-0.444),3)</f>
        <v>6.2240000000000002</v>
      </c>
      <c r="Q11" s="34">
        <v>39.75</v>
      </c>
      <c r="R11" s="34">
        <f>ROUNDDOWN((P11*D5+Q11)*D6,3)</f>
        <v>474.08300000000003</v>
      </c>
    </row>
    <row r="12" spans="2:18">
      <c r="B12" s="5"/>
      <c r="C12" s="34" t="e">
        <f>VLOOKUP(O4,N8:R13,2,FALSE)</f>
        <v>#N/A</v>
      </c>
      <c r="D12" s="34"/>
      <c r="E12" s="34"/>
      <c r="F12" s="34"/>
      <c r="G12" s="47"/>
      <c r="J12" s="7"/>
      <c r="N12" s="68" t="s">
        <v>145</v>
      </c>
      <c r="O12" s="58" t="s">
        <v>139</v>
      </c>
      <c r="P12" s="34">
        <f>ROUNDDOWN(5.97*(D8^-0.44),3)</f>
        <v>5.78</v>
      </c>
      <c r="Q12" s="34">
        <v>52.25</v>
      </c>
      <c r="R12" s="34">
        <f>ROUNDDOWN((P12*D5+Q12)*D6,3)</f>
        <v>594.84699999999998</v>
      </c>
    </row>
    <row r="13" spans="2:18">
      <c r="B13" s="5"/>
      <c r="C13" s="34" t="str">
        <f>VLOOKUP(O5,N9:R14,2,TRUE)</f>
        <v>5.62X^-0.442</v>
      </c>
      <c r="D13" s="58"/>
      <c r="E13" s="34"/>
      <c r="F13" s="34"/>
      <c r="G13" s="47"/>
      <c r="J13" s="7"/>
      <c r="N13" s="68" t="s">
        <v>146</v>
      </c>
      <c r="O13" s="58" t="s">
        <v>140</v>
      </c>
      <c r="P13" s="34">
        <f>ROUNDDOWN(5.62*(D8^-0.442),3)</f>
        <v>5.44</v>
      </c>
      <c r="Q13" s="34">
        <v>64.680000000000007</v>
      </c>
      <c r="R13" s="34">
        <f>ROUNDDOWN((P13*D5+Q13)*D6,3)</f>
        <v>716.13099999999997</v>
      </c>
    </row>
    <row r="14" spans="2:18">
      <c r="B14" s="5"/>
      <c r="G14" s="12"/>
      <c r="J14" s="7"/>
      <c r="N14" s="34"/>
      <c r="O14" s="34"/>
      <c r="P14" s="34"/>
      <c r="Q14" s="34"/>
      <c r="R14" s="34"/>
    </row>
    <row r="15" spans="2:18">
      <c r="B15" s="19"/>
      <c r="G15" s="12"/>
      <c r="J15" s="7"/>
      <c r="P15" s="1"/>
    </row>
    <row r="16" spans="2:18">
      <c r="B16" s="5"/>
      <c r="C16" t="s">
        <v>8</v>
      </c>
      <c r="D16" s="1">
        <f>P10</f>
        <v>6.83</v>
      </c>
      <c r="G16" s="12"/>
      <c r="J16" s="7"/>
    </row>
    <row r="17" spans="2:16">
      <c r="B17" s="5"/>
      <c r="G17" s="12"/>
      <c r="J17" s="7"/>
    </row>
    <row r="18" spans="2:16">
      <c r="B18" s="5"/>
      <c r="C18" t="s">
        <v>45</v>
      </c>
      <c r="D18" t="s">
        <v>22</v>
      </c>
      <c r="E18" s="1">
        <f>ROUNDDOWN(D16*0.108*0.81,3)</f>
        <v>0.59699999999999998</v>
      </c>
      <c r="G18" s="12"/>
      <c r="J18" s="7"/>
      <c r="O18" s="52"/>
    </row>
    <row r="19" spans="2:16">
      <c r="B19" s="5"/>
      <c r="G19" s="12"/>
      <c r="J19" s="7"/>
    </row>
    <row r="20" spans="2:16">
      <c r="B20" s="5"/>
      <c r="C20" t="s">
        <v>23</v>
      </c>
      <c r="G20" s="12"/>
      <c r="J20" s="7"/>
      <c r="P20" s="1"/>
    </row>
    <row r="21" spans="2:16">
      <c r="B21" s="5"/>
      <c r="C21" t="s">
        <v>24</v>
      </c>
      <c r="D21" t="s">
        <v>26</v>
      </c>
      <c r="E21" s="20">
        <f>ROUNDDOWN((3/2*D5+D7)/(2*D5+D7),2)</f>
        <v>0.95</v>
      </c>
      <c r="G21" s="12"/>
      <c r="J21" s="7"/>
    </row>
    <row r="22" spans="2:16">
      <c r="B22" s="5"/>
      <c r="C22" t="s">
        <v>25</v>
      </c>
      <c r="D22" t="s">
        <v>96</v>
      </c>
      <c r="E22" s="20">
        <f>ROUNDDOWN((D5+D7)/(2*D5+D7),2)</f>
        <v>0.9</v>
      </c>
      <c r="G22" s="12"/>
      <c r="J22" s="7"/>
    </row>
    <row r="23" spans="2:16">
      <c r="B23" s="5"/>
      <c r="J23" s="7"/>
      <c r="O23" s="52"/>
    </row>
    <row r="24" spans="2:16">
      <c r="B24" s="5"/>
      <c r="F24" s="12"/>
      <c r="J24" s="7"/>
    </row>
    <row r="25" spans="2:16">
      <c r="B25" s="5"/>
      <c r="E25" s="1"/>
      <c r="F25" s="61"/>
      <c r="G25" s="1"/>
      <c r="J25" s="7"/>
      <c r="P25" s="1"/>
    </row>
    <row r="26" spans="2:16">
      <c r="B26" s="5"/>
      <c r="E26" s="1"/>
      <c r="F26" s="61"/>
      <c r="G26" s="1"/>
      <c r="J26" s="7"/>
    </row>
    <row r="27" spans="2:16">
      <c r="B27" s="5"/>
      <c r="E27" s="1"/>
      <c r="F27" s="61"/>
      <c r="G27" s="1"/>
      <c r="J27" s="7"/>
    </row>
    <row r="28" spans="2:16">
      <c r="B28" s="5"/>
      <c r="F28" s="51"/>
      <c r="G28" s="12"/>
      <c r="J28" s="7"/>
      <c r="O28" s="52"/>
    </row>
    <row r="29" spans="2:16">
      <c r="B29" s="5"/>
      <c r="J29" s="7"/>
    </row>
    <row r="30" spans="2:16">
      <c r="B30" s="5"/>
      <c r="J30" s="7"/>
      <c r="P30" s="1"/>
    </row>
    <row r="31" spans="2:16">
      <c r="B31" s="5"/>
      <c r="G31" s="23"/>
      <c r="J31" s="7"/>
    </row>
    <row r="32" spans="2:16">
      <c r="B32" s="5"/>
      <c r="C32" s="28" t="s">
        <v>47</v>
      </c>
      <c r="D32" s="28" t="s">
        <v>131</v>
      </c>
      <c r="E32" s="30">
        <f>E18</f>
        <v>0.59699999999999998</v>
      </c>
      <c r="F32" s="28" t="s">
        <v>46</v>
      </c>
      <c r="J32" s="7"/>
    </row>
    <row r="33" spans="2:16">
      <c r="B33" s="5"/>
      <c r="J33" s="7"/>
      <c r="O33" s="52"/>
    </row>
    <row r="34" spans="2:16">
      <c r="B34" s="5"/>
      <c r="J34" s="7"/>
    </row>
    <row r="35" spans="2:16">
      <c r="B35" s="5"/>
      <c r="C35" s="27" t="s">
        <v>37</v>
      </c>
      <c r="D35" t="s">
        <v>51</v>
      </c>
      <c r="J35" s="7"/>
      <c r="P35" s="1"/>
    </row>
    <row r="36" spans="2:16">
      <c r="B36" s="5"/>
      <c r="D36" t="s">
        <v>52</v>
      </c>
      <c r="G36" s="1" t="e">
        <f>ROUNDDOWN(D8*D8*3.14/4*(#REF!),3)</f>
        <v>#REF!</v>
      </c>
      <c r="J36" s="7"/>
    </row>
    <row r="37" spans="2:16">
      <c r="B37" s="5"/>
      <c r="D37" t="s">
        <v>40</v>
      </c>
      <c r="G37" s="1" t="e">
        <f>ROUNDDOWN((D5*D7*D7-D8*D8*3.14/4*(#REF!-#REF!))*0.35,3)</f>
        <v>#REF!</v>
      </c>
      <c r="J37" s="7"/>
    </row>
    <row r="38" spans="2:16">
      <c r="B38" s="5"/>
      <c r="D38" t="s">
        <v>15</v>
      </c>
      <c r="G38" s="10" t="e">
        <f>G36+G37</f>
        <v>#REF!</v>
      </c>
      <c r="J38" s="7"/>
    </row>
    <row r="39" spans="2:16">
      <c r="B39" s="5"/>
      <c r="G39" s="11"/>
      <c r="J39" s="7"/>
    </row>
    <row r="40" spans="2:16">
      <c r="B40" s="5"/>
      <c r="C40" s="28" t="s">
        <v>38</v>
      </c>
      <c r="D40" s="28" t="s">
        <v>53</v>
      </c>
      <c r="E40" s="28"/>
      <c r="F40" s="28"/>
      <c r="G40" s="31" t="e">
        <f>ROUNDDOWN(G38*(F25+F26+F27),3)</f>
        <v>#REF!</v>
      </c>
      <c r="J40" s="7"/>
    </row>
    <row r="41" spans="2:16">
      <c r="B41" s="5"/>
      <c r="C41" s="9"/>
      <c r="D41" s="9"/>
      <c r="E41" s="9"/>
      <c r="F41" s="9"/>
      <c r="G41" s="26"/>
      <c r="J41" s="7"/>
    </row>
    <row r="42" spans="2:16">
      <c r="B42" s="5"/>
      <c r="C42" s="9"/>
      <c r="D42" s="9"/>
      <c r="E42" s="9"/>
      <c r="F42" s="9"/>
      <c r="G42" s="25"/>
      <c r="J42" s="7"/>
    </row>
    <row r="43" spans="2:16">
      <c r="B43" s="5"/>
      <c r="J43" s="7"/>
    </row>
    <row r="44" spans="2:16">
      <c r="B44" s="5"/>
      <c r="J44" s="7"/>
    </row>
    <row r="45" spans="2:16">
      <c r="B45" s="5"/>
      <c r="J45" s="7"/>
    </row>
    <row r="46" spans="2:16">
      <c r="B46" s="5"/>
      <c r="J46" s="7"/>
    </row>
    <row r="47" spans="2:16">
      <c r="B47" s="5"/>
      <c r="J47" s="7"/>
    </row>
    <row r="48" spans="2:16">
      <c r="B48" s="5"/>
      <c r="J48" s="7"/>
    </row>
    <row r="49" spans="2:10">
      <c r="B49" s="5"/>
      <c r="J49" s="7"/>
    </row>
    <row r="50" spans="2:10">
      <c r="B50" s="5"/>
      <c r="J50" s="7"/>
    </row>
    <row r="51" spans="2:10">
      <c r="B51" s="5"/>
      <c r="J51" s="7"/>
    </row>
    <row r="52" spans="2:10">
      <c r="B52" s="5"/>
      <c r="J52" s="7"/>
    </row>
    <row r="53" spans="2:10">
      <c r="B53" s="5"/>
      <c r="J53" s="7"/>
    </row>
    <row r="54" spans="2:10">
      <c r="B54" s="5"/>
      <c r="J54" s="7"/>
    </row>
    <row r="55" spans="2:10">
      <c r="B55" s="5"/>
      <c r="J55" s="7"/>
    </row>
    <row r="56" spans="2:10">
      <c r="B56" s="5"/>
      <c r="J56" s="7"/>
    </row>
    <row r="57" spans="2:10">
      <c r="B57" s="5"/>
      <c r="J57" s="7"/>
    </row>
    <row r="58" spans="2:10">
      <c r="B58" s="5"/>
      <c r="J58" s="7"/>
    </row>
    <row r="59" spans="2:10">
      <c r="B59" s="5"/>
      <c r="J59" s="7"/>
    </row>
    <row r="60" spans="2:10">
      <c r="B60" s="5"/>
      <c r="J60" s="7"/>
    </row>
    <row r="61" spans="2:10">
      <c r="B61" s="5"/>
      <c r="J61" s="7"/>
    </row>
    <row r="62" spans="2:10">
      <c r="B62" s="5"/>
      <c r="J62" s="7"/>
    </row>
    <row r="63" spans="2:10">
      <c r="B63" s="5"/>
      <c r="J63" s="7"/>
    </row>
    <row r="64" spans="2:10" ht="14.25" thickBot="1">
      <c r="B64" s="13"/>
      <c r="C64" s="14"/>
      <c r="D64" s="14"/>
      <c r="E64" s="14"/>
      <c r="F64" s="14"/>
      <c r="G64" s="14"/>
      <c r="H64" s="14"/>
      <c r="I64" s="14"/>
      <c r="J64" s="15"/>
    </row>
  </sheetData>
  <mergeCells count="1">
    <mergeCell ref="B3:J3"/>
  </mergeCells>
  <phoneticPr fontId="1"/>
  <conditionalFormatting sqref="H8:H9">
    <cfRule type="expression" priority="1">
      <formula>"1≦+$D$8≦5"</formula>
    </cfRule>
  </conditionalFormatting>
  <dataValidations count="3">
    <dataValidation type="list" allowBlank="1" showInputMessage="1" showErrorMessage="1" sqref="D30">
      <formula1>$C$25:$C$27</formula1>
    </dataValidation>
    <dataValidation type="decimal" allowBlank="1" showInputMessage="1" showErrorMessage="1" error="Ｈ≦1.5mの範囲でご入力ください" sqref="D5">
      <formula1>0.5</formula1>
      <formula2>5</formula2>
    </dataValidation>
    <dataValidation type="decimal" allowBlank="1" showInputMessage="1" showErrorMessage="1" error="適用範囲で入力してください" sqref="D8">
      <formula1>1</formula1>
      <formula2>5</formula2>
    </dataValidation>
  </dataValidations>
  <pageMargins left="0.7" right="0.7" top="0.75" bottom="0.75" header="0.3" footer="0.3"/>
  <pageSetup paperSize="9" scale="90" orientation="portrait" r:id="rId1"/>
  <colBreaks count="1" manualBreakCount="1">
    <brk id="11" max="62"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view="pageBreakPreview" zoomScaleNormal="100" zoomScaleSheetLayoutView="100" workbookViewId="0">
      <selection activeCell="G18" sqref="G18"/>
    </sheetView>
  </sheetViews>
  <sheetFormatPr defaultRowHeight="13.5"/>
  <cols>
    <col min="2" max="2" width="16.125" customWidth="1"/>
    <col min="3" max="3" width="13.875" customWidth="1"/>
    <col min="4" max="4" width="17.125" customWidth="1"/>
    <col min="5" max="5" width="10.5" bestFit="1" customWidth="1"/>
    <col min="6" max="6" width="6.5" bestFit="1" customWidth="1"/>
    <col min="7" max="7" width="9.5" bestFit="1" customWidth="1"/>
  </cols>
  <sheetData>
    <row r="2" spans="2:6" ht="6.75" customHeight="1"/>
    <row r="3" spans="2:6" ht="14.25" customHeight="1"/>
    <row r="4" spans="2:6" ht="24" customHeight="1">
      <c r="B4" s="103" t="s">
        <v>158</v>
      </c>
      <c r="C4" s="104"/>
      <c r="D4" s="104"/>
      <c r="E4" s="104"/>
      <c r="F4" s="105"/>
    </row>
    <row r="5" spans="2:6">
      <c r="B5" s="62" t="s">
        <v>7</v>
      </c>
      <c r="C5" s="63" t="s">
        <v>6</v>
      </c>
      <c r="D5" s="63"/>
      <c r="E5" s="63"/>
      <c r="F5" s="64"/>
    </row>
    <row r="6" spans="2:6">
      <c r="B6" s="65" t="s">
        <v>7</v>
      </c>
      <c r="C6" t="s">
        <v>28</v>
      </c>
      <c r="F6" s="66"/>
    </row>
    <row r="7" spans="2:6">
      <c r="B7" s="65"/>
      <c r="C7" s="22" t="s">
        <v>1</v>
      </c>
      <c r="F7" s="66" t="s">
        <v>8</v>
      </c>
    </row>
    <row r="8" spans="2:6">
      <c r="B8" s="67"/>
      <c r="C8" t="s">
        <v>4</v>
      </c>
      <c r="F8" s="66">
        <v>0.108</v>
      </c>
    </row>
    <row r="9" spans="2:6">
      <c r="B9" s="67"/>
      <c r="C9" t="s">
        <v>5</v>
      </c>
      <c r="F9" s="66">
        <v>0.81</v>
      </c>
    </row>
    <row r="10" spans="2:6">
      <c r="B10" s="67"/>
      <c r="F10" s="66"/>
    </row>
    <row r="11" spans="2:6">
      <c r="B11" s="67"/>
      <c r="F11" s="66"/>
    </row>
    <row r="12" spans="2:6">
      <c r="B12" s="67"/>
      <c r="F12" s="66"/>
    </row>
    <row r="13" spans="2:6">
      <c r="B13" s="67"/>
      <c r="F13" s="66"/>
    </row>
    <row r="14" spans="2:6">
      <c r="B14" s="97" t="s">
        <v>150</v>
      </c>
      <c r="C14" s="98"/>
      <c r="D14" s="98"/>
      <c r="E14" s="98"/>
      <c r="F14" s="99"/>
    </row>
    <row r="15" spans="2:6">
      <c r="B15" s="97"/>
      <c r="C15" s="98"/>
      <c r="D15" s="98"/>
      <c r="E15" s="98"/>
      <c r="F15" s="99"/>
    </row>
    <row r="16" spans="2:6">
      <c r="B16" s="100"/>
      <c r="C16" s="101"/>
      <c r="D16" s="101"/>
      <c r="E16" s="101"/>
      <c r="F16" s="102"/>
    </row>
  </sheetData>
  <sheetProtection sheet="1" objects="1" scenarios="1"/>
  <mergeCells count="2">
    <mergeCell ref="B14:F16"/>
    <mergeCell ref="B4:F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6"/>
  <sheetViews>
    <sheetView showZeros="0" view="pageBreakPreview" zoomScale="84" zoomScaleNormal="100" zoomScaleSheetLayoutView="84" workbookViewId="0">
      <selection activeCell="I11" sqref="I11"/>
    </sheetView>
  </sheetViews>
  <sheetFormatPr defaultRowHeight="13.5"/>
  <cols>
    <col min="1" max="1" width="6.125" customWidth="1"/>
    <col min="3" max="3" width="14" customWidth="1"/>
    <col min="4" max="4" width="18.375" bestFit="1" customWidth="1"/>
    <col min="6" max="6" width="15" bestFit="1" customWidth="1"/>
    <col min="8" max="8" width="11.375" customWidth="1"/>
    <col min="9" max="9" width="13.875" bestFit="1" customWidth="1"/>
    <col min="11" max="11" width="6" customWidth="1"/>
    <col min="13" max="13" width="20.5" bestFit="1" customWidth="1"/>
  </cols>
  <sheetData>
    <row r="2" spans="2:14" ht="14.25" thickBot="1"/>
    <row r="3" spans="2:14">
      <c r="B3" s="2"/>
      <c r="C3" s="3"/>
      <c r="D3" s="3"/>
      <c r="E3" s="3"/>
      <c r="F3" s="3"/>
      <c r="G3" s="3"/>
      <c r="H3" s="3"/>
      <c r="I3" s="3"/>
      <c r="J3" s="4"/>
    </row>
    <row r="4" spans="2:14" ht="18.75">
      <c r="B4" s="112" t="s">
        <v>121</v>
      </c>
      <c r="C4" s="113"/>
      <c r="D4" s="113"/>
      <c r="E4" s="113"/>
      <c r="F4" s="113"/>
      <c r="G4" s="113"/>
      <c r="H4" s="113"/>
      <c r="I4" s="113"/>
      <c r="J4" s="114"/>
      <c r="M4" t="s">
        <v>56</v>
      </c>
    </row>
    <row r="5" spans="2:14" ht="16.5" customHeight="1">
      <c r="B5" s="5"/>
      <c r="D5" s="107" t="s">
        <v>102</v>
      </c>
      <c r="E5" s="107"/>
      <c r="F5" s="107"/>
      <c r="G5" s="107"/>
      <c r="H5" s="107"/>
      <c r="J5" s="7"/>
      <c r="N5" s="1"/>
    </row>
    <row r="6" spans="2:14">
      <c r="B6" s="5"/>
      <c r="J6" s="7"/>
      <c r="M6" s="34" t="s">
        <v>57</v>
      </c>
      <c r="N6" s="38" t="s">
        <v>58</v>
      </c>
    </row>
    <row r="7" spans="2:14">
      <c r="B7" s="5"/>
      <c r="F7" s="33"/>
      <c r="J7" s="7"/>
      <c r="M7" s="34" t="s">
        <v>59</v>
      </c>
      <c r="N7" s="41">
        <v>0.9</v>
      </c>
    </row>
    <row r="8" spans="2:14">
      <c r="B8" s="5"/>
      <c r="D8" s="28" t="s">
        <v>69</v>
      </c>
      <c r="E8" s="77">
        <v>400</v>
      </c>
      <c r="F8" s="28" t="s">
        <v>71</v>
      </c>
      <c r="J8" s="36"/>
      <c r="M8" s="34" t="s">
        <v>119</v>
      </c>
      <c r="N8" s="41">
        <v>0.5</v>
      </c>
    </row>
    <row r="9" spans="2:14">
      <c r="B9" s="5"/>
      <c r="D9" s="9"/>
      <c r="E9" s="9"/>
      <c r="F9" s="9"/>
      <c r="J9" s="36"/>
      <c r="N9" s="20"/>
    </row>
    <row r="10" spans="2:14">
      <c r="B10" s="5"/>
      <c r="D10" s="28" t="s">
        <v>103</v>
      </c>
      <c r="E10" s="77">
        <v>20</v>
      </c>
      <c r="F10" s="28" t="s">
        <v>120</v>
      </c>
      <c r="J10" s="36"/>
      <c r="N10" s="20"/>
    </row>
    <row r="11" spans="2:14">
      <c r="B11" s="5"/>
      <c r="F11" s="20"/>
      <c r="J11" s="36"/>
      <c r="K11" s="24"/>
      <c r="L11" s="9"/>
      <c r="M11" s="27"/>
      <c r="N11" s="69"/>
    </row>
    <row r="12" spans="2:14">
      <c r="B12" s="5"/>
      <c r="D12" s="34" t="s">
        <v>57</v>
      </c>
      <c r="E12" s="38" t="s">
        <v>58</v>
      </c>
      <c r="F12" s="34"/>
      <c r="G12" s="34" t="s">
        <v>103</v>
      </c>
      <c r="H12" s="34" t="s">
        <v>70</v>
      </c>
      <c r="J12" s="7"/>
      <c r="M12" s="20"/>
    </row>
    <row r="13" spans="2:14">
      <c r="B13" s="5"/>
      <c r="D13" s="34" t="s">
        <v>59</v>
      </c>
      <c r="E13" s="41">
        <f>IF(D13="",0,VLOOKUP(D13,M7:N16,2,FALSE))</f>
        <v>0.9</v>
      </c>
      <c r="F13" s="34" t="s">
        <v>71</v>
      </c>
      <c r="G13" s="56">
        <f>E10</f>
        <v>20</v>
      </c>
      <c r="H13" s="34">
        <f>E8*(G13/100)</f>
        <v>80</v>
      </c>
      <c r="I13" s="9"/>
      <c r="J13" s="7"/>
      <c r="M13" s="20"/>
    </row>
    <row r="14" spans="2:14">
      <c r="B14" s="5"/>
      <c r="D14" s="34" t="s">
        <v>119</v>
      </c>
      <c r="E14" s="41">
        <f>IF(D14="",0,VLOOKUP(D14,M8:N17,2,FALSE))</f>
        <v>0.5</v>
      </c>
      <c r="F14" s="34" t="s">
        <v>71</v>
      </c>
      <c r="G14" s="56">
        <f>100-G13</f>
        <v>80</v>
      </c>
      <c r="H14" s="34">
        <f>E8*(G14/100)</f>
        <v>320</v>
      </c>
      <c r="J14" s="7"/>
      <c r="M14" s="20"/>
    </row>
    <row r="15" spans="2:14">
      <c r="B15" s="5"/>
      <c r="J15" s="37"/>
      <c r="N15" s="20"/>
    </row>
    <row r="16" spans="2:14">
      <c r="B16" s="5"/>
      <c r="D16" s="9"/>
      <c r="J16" s="7"/>
      <c r="N16" s="70"/>
    </row>
    <row r="17" spans="2:14">
      <c r="B17" s="5"/>
      <c r="J17" s="7"/>
      <c r="N17" s="11"/>
    </row>
    <row r="18" spans="2:14">
      <c r="B18" s="5"/>
      <c r="E18" s="22"/>
      <c r="F18" s="1"/>
      <c r="J18" s="7"/>
      <c r="K18" s="9"/>
      <c r="L18" s="9"/>
      <c r="M18" s="9"/>
      <c r="N18" s="25"/>
    </row>
    <row r="19" spans="2:14">
      <c r="B19" s="5"/>
      <c r="E19" s="22"/>
      <c r="F19" s="1"/>
      <c r="H19" s="1"/>
      <c r="J19" s="7"/>
      <c r="K19" s="9"/>
      <c r="L19" s="9"/>
      <c r="M19" s="9"/>
      <c r="N19" s="26"/>
    </row>
    <row r="20" spans="2:14">
      <c r="B20" s="5"/>
      <c r="D20" s="22" t="s">
        <v>101</v>
      </c>
      <c r="E20" s="50">
        <v>57</v>
      </c>
      <c r="F20" s="50"/>
      <c r="H20" s="1"/>
      <c r="J20" s="7"/>
      <c r="K20" s="9"/>
      <c r="L20" s="9"/>
      <c r="M20" s="9"/>
      <c r="N20" s="25"/>
    </row>
    <row r="21" spans="2:14">
      <c r="B21" s="5"/>
      <c r="D21" s="22"/>
      <c r="E21" s="22"/>
      <c r="J21" s="7"/>
    </row>
    <row r="22" spans="2:14">
      <c r="B22" s="5"/>
      <c r="J22" s="7"/>
    </row>
    <row r="23" spans="2:14">
      <c r="B23" s="5"/>
      <c r="D23" t="s">
        <v>99</v>
      </c>
      <c r="E23" s="39" t="s">
        <v>72</v>
      </c>
      <c r="H23" s="1">
        <f>ROUNDUP((H13*E13+H14*E14)/E8,3)</f>
        <v>0.57999999999999996</v>
      </c>
      <c r="J23" s="7"/>
    </row>
    <row r="24" spans="2:14">
      <c r="B24" s="5"/>
      <c r="D24" s="9" t="s">
        <v>100</v>
      </c>
      <c r="E24" s="9" t="s">
        <v>73</v>
      </c>
      <c r="F24" s="9"/>
      <c r="G24" s="9"/>
      <c r="H24" s="9">
        <f>ROUNDUP(1/1000*H23*E20*E8,3)</f>
        <v>13.224</v>
      </c>
      <c r="I24" t="s">
        <v>46</v>
      </c>
      <c r="J24" s="7"/>
    </row>
    <row r="25" spans="2:14">
      <c r="B25" s="5"/>
      <c r="J25" s="7"/>
    </row>
    <row r="26" spans="2:14">
      <c r="B26" s="5"/>
      <c r="J26" s="7"/>
    </row>
    <row r="27" spans="2:14">
      <c r="B27" s="5"/>
      <c r="E27" s="9"/>
      <c r="F27" s="9"/>
      <c r="G27" s="9"/>
      <c r="J27" s="7"/>
    </row>
    <row r="28" spans="2:14">
      <c r="B28" s="5"/>
      <c r="J28" s="7"/>
    </row>
    <row r="29" spans="2:14">
      <c r="B29" s="106"/>
      <c r="C29" s="107"/>
      <c r="D29" s="107"/>
      <c r="E29" s="107"/>
      <c r="F29" s="107"/>
      <c r="G29" s="107"/>
      <c r="H29" s="107"/>
      <c r="I29" s="107"/>
      <c r="J29" s="108"/>
    </row>
    <row r="30" spans="2:14" ht="14.25" thickBot="1">
      <c r="B30" s="109"/>
      <c r="C30" s="110"/>
      <c r="D30" s="110"/>
      <c r="E30" s="110"/>
      <c r="F30" s="110"/>
      <c r="G30" s="110"/>
      <c r="H30" s="110"/>
      <c r="I30" s="110"/>
      <c r="J30" s="111"/>
    </row>
    <row r="31" spans="2:14">
      <c r="B31" s="5"/>
      <c r="J31" s="7"/>
    </row>
    <row r="32" spans="2:14">
      <c r="B32" s="5"/>
      <c r="D32" s="34"/>
      <c r="E32" s="34" t="s">
        <v>78</v>
      </c>
      <c r="F32" s="34" t="s">
        <v>9</v>
      </c>
      <c r="G32" s="34" t="s">
        <v>38</v>
      </c>
      <c r="J32" s="7"/>
    </row>
    <row r="33" spans="2:16" ht="18.75">
      <c r="B33" s="53"/>
      <c r="C33" s="54"/>
      <c r="D33" s="78" t="s">
        <v>113</v>
      </c>
      <c r="E33" s="78" t="s">
        <v>77</v>
      </c>
      <c r="F33" s="78">
        <f>'①（浸透ﾄﾚﾝﾁ）H≦1.5、Ｗ≦1.5 '!H18</f>
        <v>8.0459999999999994</v>
      </c>
      <c r="G33" s="78">
        <f>'①（浸透ﾄﾚﾝﾁ）H≦1.5、Ｗ≦1.5 '!H25</f>
        <v>6.4980000000000002</v>
      </c>
      <c r="J33" s="55"/>
    </row>
    <row r="34" spans="2:16">
      <c r="B34" s="5"/>
      <c r="D34" s="78" t="s">
        <v>113</v>
      </c>
      <c r="E34" s="78" t="s">
        <v>76</v>
      </c>
      <c r="F34" s="78">
        <f>'③（正方形桝）W≦1ｍ '!E32</f>
        <v>9.8979999999999997</v>
      </c>
      <c r="G34" s="78">
        <f>'③（正方形桝）W≦1ｍ '!G40</f>
        <v>3.6059999999999999</v>
      </c>
      <c r="J34" s="7"/>
    </row>
    <row r="35" spans="2:16" ht="18.75">
      <c r="B35" s="5"/>
      <c r="C35" s="32"/>
      <c r="D35" s="78"/>
      <c r="E35" s="78"/>
      <c r="F35" s="78"/>
      <c r="G35" s="78"/>
      <c r="J35" s="35"/>
      <c r="K35" s="32"/>
      <c r="L35" s="32"/>
      <c r="M35" s="32"/>
      <c r="N35" s="32"/>
      <c r="O35" s="32"/>
      <c r="P35" s="32"/>
    </row>
    <row r="36" spans="2:16">
      <c r="B36" s="5"/>
      <c r="D36" s="78"/>
      <c r="E36" s="78"/>
      <c r="F36" s="78"/>
      <c r="G36" s="78"/>
      <c r="J36" s="7"/>
      <c r="L36" s="6"/>
    </row>
    <row r="37" spans="2:16">
      <c r="B37" s="5"/>
      <c r="D37" s="78"/>
      <c r="E37" s="78"/>
      <c r="F37" s="78"/>
      <c r="G37" s="78"/>
      <c r="J37" s="7"/>
    </row>
    <row r="38" spans="2:16">
      <c r="B38" s="5"/>
      <c r="D38" s="34" t="s">
        <v>54</v>
      </c>
      <c r="E38" s="34"/>
      <c r="F38" s="34">
        <f>SUM(F33:F36)</f>
        <v>17.943999999999999</v>
      </c>
      <c r="G38" s="34">
        <f>SUM(G33:G36)</f>
        <v>10.103999999999999</v>
      </c>
      <c r="J38" s="7"/>
    </row>
    <row r="39" spans="2:16">
      <c r="B39" s="5"/>
      <c r="D39" s="34" t="s">
        <v>15</v>
      </c>
      <c r="E39" s="34"/>
      <c r="F39" s="115">
        <f>G38+F38</f>
        <v>28.047999999999998</v>
      </c>
      <c r="G39" s="115"/>
      <c r="J39" s="7"/>
    </row>
    <row r="40" spans="2:16">
      <c r="B40" s="5"/>
      <c r="J40" s="7"/>
    </row>
    <row r="41" spans="2:16">
      <c r="B41" s="5"/>
      <c r="J41" s="7"/>
    </row>
    <row r="42" spans="2:16">
      <c r="B42" s="5"/>
      <c r="J42" s="7"/>
    </row>
    <row r="43" spans="2:16">
      <c r="B43" s="5"/>
      <c r="J43" s="7"/>
    </row>
    <row r="44" spans="2:16">
      <c r="B44" s="5"/>
      <c r="J44" s="7"/>
    </row>
    <row r="45" spans="2:16">
      <c r="B45" s="5"/>
      <c r="J45" s="7"/>
    </row>
    <row r="46" spans="2:16">
      <c r="B46" s="5"/>
      <c r="D46" s="116" t="s">
        <v>74</v>
      </c>
      <c r="E46" s="116"/>
      <c r="F46" s="44">
        <f>F39</f>
        <v>28.047999999999998</v>
      </c>
      <c r="G46" s="46" t="str">
        <f>IF(F46&gt;H46,"&gt;","&lt;")</f>
        <v>&gt;</v>
      </c>
      <c r="H46" s="117">
        <f>H24</f>
        <v>13.224</v>
      </c>
      <c r="I46" s="117"/>
      <c r="J46" s="7"/>
    </row>
    <row r="47" spans="2:16">
      <c r="B47" s="5"/>
      <c r="J47" s="7"/>
    </row>
    <row r="48" spans="2:16" ht="14.25">
      <c r="B48" s="5"/>
      <c r="D48" s="45" t="str">
        <f>IF(G46="&gt;","雨水の対策量を雨水流出抑制施設の処理量が上回っているため合格","雨水の対策量を雨水流出抑制施設の処理量が下回っているため不合格")</f>
        <v>雨水の対策量を雨水流出抑制施設の処理量が上回っているため合格</v>
      </c>
      <c r="E48" s="9"/>
      <c r="F48" s="9"/>
      <c r="G48" s="9"/>
      <c r="H48" s="9"/>
      <c r="I48" s="9"/>
      <c r="J48" s="7"/>
    </row>
    <row r="49" spans="2:10">
      <c r="B49" s="5"/>
      <c r="J49" s="7"/>
    </row>
    <row r="50" spans="2:10">
      <c r="B50" s="5"/>
      <c r="J50" s="7"/>
    </row>
    <row r="51" spans="2:10">
      <c r="B51" s="5"/>
      <c r="J51" s="7"/>
    </row>
    <row r="52" spans="2:10">
      <c r="B52" s="5"/>
      <c r="J52" s="7"/>
    </row>
    <row r="53" spans="2:10">
      <c r="B53" s="5"/>
      <c r="J53" s="7"/>
    </row>
    <row r="54" spans="2:10">
      <c r="B54" s="5"/>
      <c r="J54" s="7"/>
    </row>
    <row r="55" spans="2:10">
      <c r="B55" s="106"/>
      <c r="C55" s="107"/>
      <c r="D55" s="107"/>
      <c r="E55" s="107"/>
      <c r="F55" s="107"/>
      <c r="G55" s="107"/>
      <c r="H55" s="107"/>
      <c r="I55" s="107"/>
      <c r="J55" s="108"/>
    </row>
    <row r="56" spans="2:10" ht="14.25" thickBot="1">
      <c r="B56" s="109"/>
      <c r="C56" s="110"/>
      <c r="D56" s="110"/>
      <c r="E56" s="110"/>
      <c r="F56" s="110"/>
      <c r="G56" s="110"/>
      <c r="H56" s="110"/>
      <c r="I56" s="110"/>
      <c r="J56" s="111"/>
    </row>
  </sheetData>
  <sheetProtection sheet="1" objects="1" scenarios="1"/>
  <mergeCells count="7">
    <mergeCell ref="B55:J56"/>
    <mergeCell ref="B29:J30"/>
    <mergeCell ref="B4:J4"/>
    <mergeCell ref="D5:H5"/>
    <mergeCell ref="F39:G39"/>
    <mergeCell ref="D46:E46"/>
    <mergeCell ref="H46:I46"/>
  </mergeCells>
  <phoneticPr fontId="1"/>
  <dataValidations disablePrompts="1" count="1">
    <dataValidation type="list" allowBlank="1" showInputMessage="1" showErrorMessage="1" sqref="D13:D14">
      <formula1>$M$7:$M$16</formula1>
    </dataValidation>
  </dataValidations>
  <pageMargins left="0.7" right="0.7" top="0.75" bottom="0.75" header="0.3" footer="0.3"/>
  <pageSetup paperSize="9" scale="71" orientation="portrait" r:id="rId1"/>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5"/>
  <sheetViews>
    <sheetView showZeros="0" view="pageBreakPreview" zoomScale="84" zoomScaleNormal="100" zoomScaleSheetLayoutView="84" workbookViewId="0">
      <selection activeCell="I13" sqref="I13"/>
    </sheetView>
  </sheetViews>
  <sheetFormatPr defaultRowHeight="13.5"/>
  <cols>
    <col min="1" max="1" width="6.125" customWidth="1"/>
    <col min="3" max="3" width="14" customWidth="1"/>
    <col min="4" max="4" width="18.375" bestFit="1" customWidth="1"/>
    <col min="6" max="6" width="15" bestFit="1" customWidth="1"/>
    <col min="11" max="11" width="8" customWidth="1"/>
    <col min="12" max="12" width="13.25" customWidth="1"/>
    <col min="13" max="13" width="20.5" bestFit="1" customWidth="1"/>
    <col min="15" max="15" width="20.5" bestFit="1" customWidth="1"/>
  </cols>
  <sheetData>
    <row r="2" spans="2:15" ht="14.25" thickBot="1"/>
    <row r="3" spans="2:15">
      <c r="B3" s="2"/>
      <c r="C3" s="3"/>
      <c r="D3" s="3"/>
      <c r="E3" s="3"/>
      <c r="F3" s="3"/>
      <c r="G3" s="3"/>
      <c r="H3" s="3"/>
      <c r="I3" s="3"/>
      <c r="J3" s="4"/>
    </row>
    <row r="4" spans="2:15" ht="18.75">
      <c r="B4" s="112" t="s">
        <v>122</v>
      </c>
      <c r="C4" s="113"/>
      <c r="D4" s="113"/>
      <c r="E4" s="113"/>
      <c r="F4" s="113"/>
      <c r="G4" s="113"/>
      <c r="H4" s="113"/>
      <c r="I4" s="113"/>
      <c r="J4" s="114"/>
      <c r="M4" t="s">
        <v>56</v>
      </c>
    </row>
    <row r="5" spans="2:15" ht="16.5" customHeight="1">
      <c r="B5" s="5"/>
      <c r="D5" s="107" t="s">
        <v>68</v>
      </c>
      <c r="E5" s="107"/>
      <c r="F5" s="107"/>
      <c r="G5" s="107"/>
      <c r="H5" s="107"/>
      <c r="J5" s="7"/>
      <c r="N5" s="1"/>
    </row>
    <row r="6" spans="2:15">
      <c r="B6" s="5"/>
      <c r="J6" s="7"/>
      <c r="M6" s="34" t="s">
        <v>57</v>
      </c>
      <c r="N6" s="38" t="s">
        <v>58</v>
      </c>
      <c r="O6" s="34" t="s">
        <v>148</v>
      </c>
    </row>
    <row r="7" spans="2:15">
      <c r="B7" s="5"/>
      <c r="F7" s="33"/>
      <c r="J7" s="7"/>
      <c r="M7" s="34" t="s">
        <v>59</v>
      </c>
      <c r="N7" s="41">
        <v>0.9</v>
      </c>
      <c r="O7" s="34"/>
    </row>
    <row r="8" spans="2:15">
      <c r="B8" s="5"/>
      <c r="F8" s="33"/>
      <c r="J8" s="36"/>
      <c r="M8" s="34" t="s">
        <v>60</v>
      </c>
      <c r="N8" s="41">
        <v>0.85</v>
      </c>
      <c r="O8" s="34"/>
    </row>
    <row r="9" spans="2:15">
      <c r="B9" s="5"/>
      <c r="F9" s="33"/>
      <c r="J9" s="36"/>
      <c r="M9" s="34" t="s">
        <v>61</v>
      </c>
      <c r="N9" s="41">
        <v>0.8</v>
      </c>
      <c r="O9" s="34" t="s">
        <v>149</v>
      </c>
    </row>
    <row r="10" spans="2:15">
      <c r="B10" s="5"/>
      <c r="F10" s="20"/>
      <c r="J10" s="36"/>
      <c r="K10" s="24"/>
      <c r="L10" s="9"/>
      <c r="M10" s="40" t="s">
        <v>62</v>
      </c>
      <c r="N10" s="42">
        <v>0.7</v>
      </c>
      <c r="O10" s="34"/>
    </row>
    <row r="11" spans="2:15">
      <c r="B11" s="5"/>
      <c r="D11" s="34" t="s">
        <v>57</v>
      </c>
      <c r="E11" s="38" t="s">
        <v>58</v>
      </c>
      <c r="F11" s="34" t="s">
        <v>70</v>
      </c>
      <c r="G11" s="34"/>
      <c r="J11" s="7"/>
      <c r="M11" s="34" t="s">
        <v>63</v>
      </c>
      <c r="N11" s="41">
        <v>0.2</v>
      </c>
      <c r="O11" s="34"/>
    </row>
    <row r="12" spans="2:15">
      <c r="B12" s="5"/>
      <c r="D12" s="78" t="s">
        <v>59</v>
      </c>
      <c r="E12" s="41">
        <f>IF(D12="",0,VLOOKUP(D12,M7:N15,2,FALSE))</f>
        <v>0.9</v>
      </c>
      <c r="F12" s="78">
        <v>74.528999999999996</v>
      </c>
      <c r="G12" s="34" t="s">
        <v>71</v>
      </c>
      <c r="J12" s="36"/>
      <c r="M12" s="34" t="s">
        <v>64</v>
      </c>
      <c r="N12" s="41">
        <v>0.15</v>
      </c>
      <c r="O12" s="34"/>
    </row>
    <row r="13" spans="2:15">
      <c r="B13" s="5"/>
      <c r="D13" s="78" t="s">
        <v>63</v>
      </c>
      <c r="E13" s="41">
        <f>IF(D13="",0,VLOOKUP(D13,M7:N15,2,FALSE))</f>
        <v>0.2</v>
      </c>
      <c r="F13" s="78">
        <v>466.47699999999998</v>
      </c>
      <c r="G13" s="34" t="s">
        <v>71</v>
      </c>
      <c r="J13" s="7"/>
      <c r="M13" s="34" t="s">
        <v>65</v>
      </c>
      <c r="N13" s="41">
        <v>0.3</v>
      </c>
      <c r="O13" s="34"/>
    </row>
    <row r="14" spans="2:15">
      <c r="B14" s="5"/>
      <c r="D14" s="78" t="s">
        <v>61</v>
      </c>
      <c r="E14" s="41">
        <f>IF(D14="",0,VLOOKUP(D14,M7:N15,2,FALSE))</f>
        <v>0.8</v>
      </c>
      <c r="F14" s="78">
        <v>1.4339999999999999</v>
      </c>
      <c r="G14" s="34" t="s">
        <v>71</v>
      </c>
      <c r="J14" s="37"/>
      <c r="M14" s="34" t="s">
        <v>66</v>
      </c>
      <c r="N14" s="41">
        <v>0.5</v>
      </c>
      <c r="O14" s="34"/>
    </row>
    <row r="15" spans="2:15">
      <c r="B15" s="5"/>
      <c r="D15" s="78"/>
      <c r="E15" s="41">
        <f>IF(D15="",0,VLOOKUP(D15,M7:N15,2,FALSE))</f>
        <v>0</v>
      </c>
      <c r="F15" s="78"/>
      <c r="G15" s="34" t="s">
        <v>71</v>
      </c>
      <c r="J15" s="7"/>
      <c r="M15" s="34" t="s">
        <v>67</v>
      </c>
      <c r="N15" s="43">
        <v>1</v>
      </c>
      <c r="O15" s="34"/>
    </row>
    <row r="16" spans="2:15">
      <c r="B16" s="5"/>
      <c r="D16" s="78" t="s">
        <v>66</v>
      </c>
      <c r="E16" s="41">
        <f>IF(D16="",0,VLOOKUP(D16,M7:N15,2,FALSE))</f>
        <v>0.5</v>
      </c>
      <c r="F16" s="78"/>
      <c r="G16" s="34" t="s">
        <v>71</v>
      </c>
      <c r="J16" s="7"/>
      <c r="N16" s="11"/>
    </row>
    <row r="17" spans="2:14">
      <c r="B17" s="5"/>
      <c r="J17" s="7"/>
      <c r="K17" s="9"/>
      <c r="L17" s="9"/>
      <c r="M17" s="9"/>
      <c r="N17" s="25"/>
    </row>
    <row r="18" spans="2:14">
      <c r="B18" s="5"/>
      <c r="D18" s="9"/>
      <c r="E18" s="28" t="s">
        <v>69</v>
      </c>
      <c r="F18" s="28">
        <f>SUM(F12:F16)</f>
        <v>542.43999999999994</v>
      </c>
      <c r="G18" s="28" t="s">
        <v>71</v>
      </c>
      <c r="J18" s="7"/>
      <c r="K18" s="9"/>
      <c r="L18" s="9"/>
      <c r="M18" s="9"/>
      <c r="N18" s="26"/>
    </row>
    <row r="19" spans="2:14">
      <c r="B19" s="5"/>
      <c r="J19" s="7"/>
      <c r="K19" s="9"/>
      <c r="L19" s="9"/>
      <c r="M19" s="9"/>
      <c r="N19" s="25"/>
    </row>
    <row r="20" spans="2:14">
      <c r="B20" s="5"/>
      <c r="E20" s="22"/>
      <c r="F20" s="1"/>
      <c r="J20" s="7"/>
    </row>
    <row r="21" spans="2:14">
      <c r="B21" s="5"/>
      <c r="E21" s="22"/>
      <c r="F21" s="1"/>
      <c r="H21" s="1"/>
      <c r="J21" s="7"/>
    </row>
    <row r="22" spans="2:14">
      <c r="B22" s="5"/>
      <c r="D22" s="22" t="s">
        <v>101</v>
      </c>
      <c r="E22" s="50">
        <v>57</v>
      </c>
      <c r="F22" s="50"/>
      <c r="H22" s="1"/>
      <c r="J22" s="7"/>
    </row>
    <row r="23" spans="2:14">
      <c r="B23" s="5"/>
      <c r="D23" s="22"/>
      <c r="E23" s="22"/>
      <c r="J23" s="7"/>
    </row>
    <row r="24" spans="2:14">
      <c r="B24" s="5"/>
      <c r="J24" s="7"/>
    </row>
    <row r="25" spans="2:14">
      <c r="B25" s="5"/>
      <c r="D25" t="s">
        <v>99</v>
      </c>
      <c r="E25" s="39" t="s">
        <v>72</v>
      </c>
      <c r="H25" s="1">
        <f>ROUNDUP((E12*F12+E13*F13+E14*F14+E15*F15+E16*F16)/F18,3)</f>
        <v>0.29799999999999999</v>
      </c>
      <c r="J25" s="7"/>
    </row>
    <row r="26" spans="2:14">
      <c r="B26" s="5"/>
      <c r="D26" s="9" t="s">
        <v>100</v>
      </c>
      <c r="E26" s="9" t="s">
        <v>73</v>
      </c>
      <c r="F26" s="9"/>
      <c r="G26" s="9"/>
      <c r="H26" s="9">
        <f>ROUNDUP(1/1000*H25*E22*F18,3)</f>
        <v>9.2139999999999986</v>
      </c>
      <c r="I26" t="s">
        <v>75</v>
      </c>
      <c r="J26" s="7"/>
    </row>
    <row r="27" spans="2:14">
      <c r="B27" s="5"/>
      <c r="J27" s="7"/>
    </row>
    <row r="28" spans="2:14">
      <c r="B28" s="106"/>
      <c r="C28" s="107"/>
      <c r="D28" s="107"/>
      <c r="E28" s="107"/>
      <c r="F28" s="107"/>
      <c r="G28" s="107"/>
      <c r="H28" s="107"/>
      <c r="I28" s="107"/>
      <c r="J28" s="108"/>
    </row>
    <row r="29" spans="2:14" ht="14.25" thickBot="1">
      <c r="B29" s="109"/>
      <c r="C29" s="110"/>
      <c r="D29" s="110"/>
      <c r="E29" s="110"/>
      <c r="F29" s="110"/>
      <c r="G29" s="110"/>
      <c r="H29" s="110"/>
      <c r="I29" s="110"/>
      <c r="J29" s="111"/>
    </row>
    <row r="30" spans="2:14">
      <c r="B30" s="5"/>
      <c r="J30" s="7"/>
    </row>
    <row r="31" spans="2:14">
      <c r="B31" s="5"/>
      <c r="J31" s="7"/>
    </row>
    <row r="32" spans="2:14" ht="18.75">
      <c r="B32" s="112" t="s">
        <v>55</v>
      </c>
      <c r="C32" s="113"/>
      <c r="D32" s="113"/>
      <c r="E32" s="113"/>
      <c r="F32" s="113"/>
      <c r="G32" s="113"/>
      <c r="H32" s="113"/>
      <c r="I32" s="113"/>
      <c r="J32" s="114"/>
    </row>
    <row r="33" spans="2:16">
      <c r="B33" s="5"/>
      <c r="J33" s="7"/>
    </row>
    <row r="34" spans="2:16" ht="18.75">
      <c r="B34" s="5"/>
      <c r="C34" s="32"/>
      <c r="D34" s="34"/>
      <c r="E34" s="34" t="s">
        <v>78</v>
      </c>
      <c r="F34" s="34" t="s">
        <v>9</v>
      </c>
      <c r="G34" s="34" t="s">
        <v>38</v>
      </c>
      <c r="J34" s="35"/>
      <c r="K34" s="32"/>
      <c r="L34" s="32"/>
      <c r="M34" s="32"/>
      <c r="N34" s="32"/>
      <c r="O34" s="32"/>
      <c r="P34" s="32"/>
    </row>
    <row r="35" spans="2:16">
      <c r="B35" s="5"/>
      <c r="D35" s="78" t="s">
        <v>92</v>
      </c>
      <c r="E35" s="78" t="s">
        <v>77</v>
      </c>
      <c r="F35" s="78">
        <f>'①（浸透ﾄﾚﾝﾁ）H≦1.5、Ｗ≦1.5 '!H18</f>
        <v>8.0459999999999994</v>
      </c>
      <c r="G35" s="79">
        <f>'①（浸透ﾄﾚﾝﾁ）H≦1.5、Ｗ≦1.5 '!H25</f>
        <v>6.4980000000000002</v>
      </c>
      <c r="J35" s="7"/>
      <c r="L35" s="6"/>
    </row>
    <row r="36" spans="2:16">
      <c r="B36" s="5"/>
      <c r="D36" s="78"/>
      <c r="E36" s="78"/>
      <c r="F36" s="78"/>
      <c r="G36" s="78"/>
      <c r="J36" s="7"/>
    </row>
    <row r="37" spans="2:16">
      <c r="B37" s="5"/>
      <c r="D37" s="78" t="s">
        <v>113</v>
      </c>
      <c r="E37" s="78" t="s">
        <v>76</v>
      </c>
      <c r="F37" s="78">
        <f>'③（正方形桝）W≦1ｍ '!E32</f>
        <v>9.8979999999999997</v>
      </c>
      <c r="G37" s="78">
        <f>'③（正方形桝）W≦1ｍ '!G40</f>
        <v>3.6059999999999999</v>
      </c>
      <c r="J37" s="7"/>
    </row>
    <row r="38" spans="2:16">
      <c r="B38" s="5"/>
      <c r="D38" s="78"/>
      <c r="E38" s="78"/>
      <c r="F38" s="78"/>
      <c r="G38" s="78"/>
      <c r="J38" s="7"/>
    </row>
    <row r="39" spans="2:16">
      <c r="B39" s="5"/>
      <c r="D39" s="78"/>
      <c r="E39" s="78"/>
      <c r="F39" s="78"/>
      <c r="G39" s="78"/>
      <c r="J39" s="7"/>
    </row>
    <row r="40" spans="2:16">
      <c r="B40" s="5"/>
      <c r="D40" s="34" t="s">
        <v>54</v>
      </c>
      <c r="E40" s="34"/>
      <c r="F40" s="38">
        <f>SUM(F35:F38)</f>
        <v>17.943999999999999</v>
      </c>
      <c r="G40" s="38">
        <f>SUM(G35:G38)</f>
        <v>10.103999999999999</v>
      </c>
      <c r="J40" s="7"/>
    </row>
    <row r="41" spans="2:16">
      <c r="B41" s="5"/>
      <c r="D41" s="34" t="s">
        <v>15</v>
      </c>
      <c r="E41" s="34"/>
      <c r="F41" s="118">
        <f>G40+F40</f>
        <v>28.047999999999998</v>
      </c>
      <c r="G41" s="118"/>
      <c r="J41" s="7"/>
    </row>
    <row r="42" spans="2:16">
      <c r="B42" s="5"/>
      <c r="J42" s="7"/>
    </row>
    <row r="43" spans="2:16">
      <c r="B43" s="5"/>
      <c r="J43" s="7"/>
    </row>
    <row r="44" spans="2:16">
      <c r="B44" s="5"/>
      <c r="J44" s="7"/>
    </row>
    <row r="45" spans="2:16">
      <c r="B45" s="5"/>
      <c r="J45" s="7"/>
    </row>
    <row r="46" spans="2:16">
      <c r="B46" s="5"/>
      <c r="J46" s="7"/>
    </row>
    <row r="47" spans="2:16">
      <c r="B47" s="5"/>
      <c r="J47" s="7"/>
    </row>
    <row r="48" spans="2:16">
      <c r="B48" s="5"/>
      <c r="D48" s="116" t="s">
        <v>74</v>
      </c>
      <c r="E48" s="116"/>
      <c r="F48" s="44">
        <f>F41</f>
        <v>28.047999999999998</v>
      </c>
      <c r="G48" s="46" t="str">
        <f>IF(F48&gt;H48,"&gt;","&lt;")</f>
        <v>&gt;</v>
      </c>
      <c r="H48" s="117">
        <f>H26</f>
        <v>9.2139999999999986</v>
      </c>
      <c r="I48" s="117"/>
      <c r="J48" s="7"/>
    </row>
    <row r="49" spans="2:16">
      <c r="B49" s="5"/>
      <c r="J49" s="7"/>
    </row>
    <row r="50" spans="2:16" ht="14.25">
      <c r="B50" s="5"/>
      <c r="D50" s="45" t="str">
        <f>IF(G48="&gt;","雨水の対策量を雨水流出抑制施設の処理量が上回っているため合格","雨水の対策量を雨水流出抑制施設の処理量が下回っているため不合格")</f>
        <v>雨水の対策量を雨水流出抑制施設の処理量が上回っているため合格</v>
      </c>
      <c r="E50" s="9"/>
      <c r="F50" s="9"/>
      <c r="G50" s="9"/>
      <c r="H50" s="9"/>
      <c r="I50" s="9"/>
      <c r="J50" s="7"/>
    </row>
    <row r="51" spans="2:16">
      <c r="B51" s="5"/>
      <c r="J51" s="7"/>
    </row>
    <row r="52" spans="2:16">
      <c r="B52" s="5"/>
      <c r="J52" s="7"/>
    </row>
    <row r="53" spans="2:16">
      <c r="B53" s="5"/>
      <c r="J53" s="7"/>
    </row>
    <row r="54" spans="2:16">
      <c r="B54" s="5"/>
      <c r="J54" s="7"/>
      <c r="P54" t="s">
        <v>106</v>
      </c>
    </row>
    <row r="55" spans="2:16" ht="14.25" thickBot="1">
      <c r="B55" s="13"/>
      <c r="C55" s="14"/>
      <c r="D55" s="14"/>
      <c r="E55" s="14"/>
      <c r="F55" s="14"/>
      <c r="G55" s="14"/>
      <c r="H55" s="14"/>
      <c r="I55" s="14"/>
      <c r="J55" s="15"/>
    </row>
  </sheetData>
  <sheetProtection sheet="1" objects="1" scenarios="1"/>
  <mergeCells count="7">
    <mergeCell ref="F41:G41"/>
    <mergeCell ref="B32:J32"/>
    <mergeCell ref="B4:J4"/>
    <mergeCell ref="D5:H5"/>
    <mergeCell ref="D48:E48"/>
    <mergeCell ref="H48:I48"/>
    <mergeCell ref="B28:J29"/>
  </mergeCells>
  <phoneticPr fontId="1"/>
  <dataValidations count="1">
    <dataValidation type="list" allowBlank="1" showInputMessage="1" showErrorMessage="1" sqref="D12:D16">
      <formula1>$M$7:$M$15</formula1>
    </dataValidation>
  </dataValidations>
  <pageMargins left="0.7" right="0.7" top="0.75" bottom="0.75" header="0.3" footer="0.3"/>
  <pageSetup paperSize="9" scale="74" orientation="portrait"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view="pageBreakPreview" zoomScale="96" zoomScaleNormal="100" zoomScaleSheetLayoutView="96" workbookViewId="0">
      <selection activeCell="I4" sqref="I4"/>
    </sheetView>
  </sheetViews>
  <sheetFormatPr defaultRowHeight="13.5"/>
  <cols>
    <col min="1" max="1" width="4.625" customWidth="1"/>
    <col min="3" max="3" width="13.875" bestFit="1" customWidth="1"/>
    <col min="4" max="4" width="12.625" bestFit="1" customWidth="1"/>
    <col min="8" max="8" width="10.5" bestFit="1" customWidth="1"/>
    <col min="11" max="11" width="4.25" customWidth="1"/>
    <col min="14" max="14" width="15.375" customWidth="1"/>
  </cols>
  <sheetData>
    <row r="1" spans="2:16" ht="14.25" thickBot="1"/>
    <row r="2" spans="2:16">
      <c r="B2" s="2"/>
      <c r="C2" s="3"/>
      <c r="D2" s="3"/>
      <c r="E2" s="3"/>
      <c r="F2" s="3"/>
      <c r="G2" s="3"/>
      <c r="H2" s="3"/>
      <c r="I2" s="3"/>
      <c r="J2" s="4"/>
    </row>
    <row r="3" spans="2:16" ht="18.75">
      <c r="B3" s="112" t="s">
        <v>44</v>
      </c>
      <c r="C3" s="113"/>
      <c r="D3" s="113"/>
      <c r="E3" s="113"/>
      <c r="F3" s="113"/>
      <c r="G3" s="113"/>
      <c r="H3" s="113"/>
      <c r="I3" s="113"/>
      <c r="J3" s="114"/>
      <c r="K3" s="1"/>
      <c r="L3" s="1"/>
    </row>
    <row r="4" spans="2:16" ht="18.75">
      <c r="B4" s="16"/>
      <c r="F4" s="6"/>
      <c r="J4" s="7"/>
      <c r="K4" s="1"/>
      <c r="L4" s="1"/>
      <c r="N4" s="34" t="s">
        <v>169</v>
      </c>
      <c r="O4" s="38" t="s">
        <v>79</v>
      </c>
      <c r="P4" s="34" t="s">
        <v>80</v>
      </c>
    </row>
    <row r="5" spans="2:16">
      <c r="B5" s="5"/>
      <c r="C5" t="s">
        <v>10</v>
      </c>
      <c r="D5" s="51" t="str">
        <f>IF(F5&lt;=1.5,"1.5ｍ以下","1.5ｍ以上")</f>
        <v>1.5ｍ以下</v>
      </c>
      <c r="F5" s="80">
        <v>1</v>
      </c>
      <c r="G5" t="s">
        <v>14</v>
      </c>
      <c r="H5" s="51"/>
      <c r="J5" s="7"/>
      <c r="N5" s="34" t="s">
        <v>81</v>
      </c>
      <c r="O5" s="41">
        <v>0.5</v>
      </c>
      <c r="P5" s="34"/>
    </row>
    <row r="6" spans="2:16">
      <c r="B6" s="5"/>
      <c r="C6" t="s">
        <v>11</v>
      </c>
      <c r="F6" s="80">
        <v>18</v>
      </c>
      <c r="G6" t="s">
        <v>14</v>
      </c>
      <c r="J6" s="7"/>
      <c r="N6" s="34" t="s">
        <v>82</v>
      </c>
      <c r="O6" s="41">
        <v>0.75</v>
      </c>
      <c r="P6" s="34"/>
    </row>
    <row r="7" spans="2:16">
      <c r="B7" s="5"/>
      <c r="C7" t="s">
        <v>12</v>
      </c>
      <c r="D7" s="51" t="str">
        <f>IF(F7&lt;=1.5,"1.5ｍ以下","1.5ｍ以上")</f>
        <v>1.5ｍ以下</v>
      </c>
      <c r="F7" s="80">
        <v>1</v>
      </c>
      <c r="G7" t="s">
        <v>14</v>
      </c>
      <c r="H7" s="33"/>
      <c r="J7" s="7"/>
      <c r="N7" s="34" t="s">
        <v>83</v>
      </c>
      <c r="O7" s="41">
        <v>0.1</v>
      </c>
      <c r="P7" s="34"/>
    </row>
    <row r="8" spans="2:16">
      <c r="B8" s="5"/>
      <c r="C8" s="82" t="s">
        <v>159</v>
      </c>
      <c r="D8" s="71">
        <f>F8*1000</f>
        <v>150</v>
      </c>
      <c r="F8" s="81">
        <v>0.15</v>
      </c>
      <c r="G8" t="s">
        <v>14</v>
      </c>
      <c r="H8" s="82" t="s">
        <v>160</v>
      </c>
      <c r="J8" s="7"/>
      <c r="N8" s="34" t="s">
        <v>84</v>
      </c>
      <c r="O8" s="42">
        <v>0.15</v>
      </c>
      <c r="P8" s="34"/>
    </row>
    <row r="9" spans="2:16">
      <c r="B9" s="5"/>
      <c r="C9" t="s">
        <v>177</v>
      </c>
      <c r="F9" s="84">
        <v>35</v>
      </c>
      <c r="G9" t="s">
        <v>170</v>
      </c>
      <c r="H9" t="s">
        <v>171</v>
      </c>
      <c r="J9" s="7"/>
      <c r="N9" s="34" t="s">
        <v>85</v>
      </c>
      <c r="O9" s="41">
        <v>0.2</v>
      </c>
      <c r="P9" s="34"/>
    </row>
    <row r="10" spans="2:16">
      <c r="B10" s="5"/>
      <c r="J10" s="7"/>
      <c r="N10" s="34" t="s">
        <v>86</v>
      </c>
      <c r="O10" s="41">
        <v>0.25</v>
      </c>
      <c r="P10" s="34"/>
    </row>
    <row r="11" spans="2:16">
      <c r="B11" s="5"/>
      <c r="C11" t="s">
        <v>0</v>
      </c>
      <c r="D11" t="s">
        <v>1</v>
      </c>
      <c r="E11" s="6" t="s">
        <v>2</v>
      </c>
      <c r="F11" t="s">
        <v>13</v>
      </c>
      <c r="J11" s="7"/>
      <c r="N11" s="34" t="s">
        <v>87</v>
      </c>
      <c r="O11" s="41">
        <v>0.3</v>
      </c>
      <c r="P11" s="34"/>
    </row>
    <row r="12" spans="2:16">
      <c r="B12" s="5"/>
      <c r="E12" s="6" t="s">
        <v>29</v>
      </c>
      <c r="F12" s="1">
        <v>3.093</v>
      </c>
      <c r="H12">
        <v>3.093</v>
      </c>
      <c r="J12" s="7"/>
      <c r="N12" s="34" t="s">
        <v>88</v>
      </c>
      <c r="O12" s="41">
        <v>0.35</v>
      </c>
      <c r="P12" s="34"/>
    </row>
    <row r="13" spans="2:16">
      <c r="B13" s="5"/>
      <c r="E13" s="6" t="s">
        <v>30</v>
      </c>
      <c r="F13" s="1" t="s">
        <v>31</v>
      </c>
      <c r="H13" s="1">
        <f>ROUNDDOWN(1.34*F7+0.677,3)</f>
        <v>2.0169999999999999</v>
      </c>
      <c r="J13" s="7"/>
      <c r="N13" s="34" t="s">
        <v>89</v>
      </c>
      <c r="O13" s="43">
        <v>0.4</v>
      </c>
      <c r="P13" s="34"/>
    </row>
    <row r="14" spans="2:16">
      <c r="B14" s="5"/>
      <c r="E14" s="6" t="s">
        <v>2</v>
      </c>
      <c r="F14" s="1"/>
      <c r="H14" s="1">
        <f>ROUNDDOWN(H12*F5+H13,3)</f>
        <v>5.1100000000000003</v>
      </c>
      <c r="J14" s="7"/>
    </row>
    <row r="15" spans="2:16">
      <c r="B15" s="5"/>
      <c r="J15" s="7"/>
    </row>
    <row r="16" spans="2:16">
      <c r="B16" s="5"/>
      <c r="D16" t="s">
        <v>32</v>
      </c>
      <c r="E16" s="6" t="s">
        <v>33</v>
      </c>
      <c r="H16" s="1">
        <f>ROUNDDOWN(H14*基本式!F8*基本式!F9,3)</f>
        <v>0.44700000000000001</v>
      </c>
      <c r="I16" t="s">
        <v>34</v>
      </c>
      <c r="J16" s="7"/>
    </row>
    <row r="17" spans="2:10">
      <c r="B17" s="5"/>
      <c r="J17" s="7"/>
    </row>
    <row r="18" spans="2:10">
      <c r="B18" s="5"/>
      <c r="D18" s="28" t="s">
        <v>9</v>
      </c>
      <c r="E18" s="29" t="s">
        <v>35</v>
      </c>
      <c r="F18" s="28" t="s">
        <v>36</v>
      </c>
      <c r="G18" s="28"/>
      <c r="H18" s="30">
        <f>ROUNDDOWN(H16*F6,3)</f>
        <v>8.0459999999999994</v>
      </c>
      <c r="J18" s="7"/>
    </row>
    <row r="19" spans="2:10">
      <c r="B19" s="5"/>
      <c r="J19" s="7"/>
    </row>
    <row r="20" spans="2:10">
      <c r="B20" s="5"/>
      <c r="D20" s="27" t="s">
        <v>37</v>
      </c>
      <c r="E20" t="s">
        <v>172</v>
      </c>
      <c r="J20" s="7"/>
    </row>
    <row r="21" spans="2:10">
      <c r="B21" s="5"/>
      <c r="E21" t="s">
        <v>39</v>
      </c>
      <c r="H21" s="1">
        <f>ROUNDDOWN(F8*F8*3.14/4,3)</f>
        <v>1.7000000000000001E-2</v>
      </c>
      <c r="J21" s="7"/>
    </row>
    <row r="22" spans="2:10">
      <c r="B22" s="5"/>
      <c r="E22" t="s">
        <v>40</v>
      </c>
      <c r="H22" s="1">
        <f>ROUNDDOWN((F5*F7-H21)*F9*0.01,3)</f>
        <v>0.34399999999999997</v>
      </c>
      <c r="J22" s="7"/>
    </row>
    <row r="23" spans="2:10">
      <c r="B23" s="5"/>
      <c r="E23" t="s">
        <v>15</v>
      </c>
      <c r="H23" s="10">
        <f>H21+H22</f>
        <v>0.36099999999999999</v>
      </c>
      <c r="J23" s="7"/>
    </row>
    <row r="24" spans="2:10">
      <c r="B24" s="5"/>
      <c r="H24" s="11"/>
      <c r="J24" s="7"/>
    </row>
    <row r="25" spans="2:10">
      <c r="B25" s="5"/>
      <c r="D25" s="28" t="s">
        <v>38</v>
      </c>
      <c r="E25" s="28" t="s">
        <v>41</v>
      </c>
      <c r="F25" s="28"/>
      <c r="G25" s="28"/>
      <c r="H25" s="31">
        <f>ROUNDDOWN(H23*F6,3)</f>
        <v>6.4980000000000002</v>
      </c>
      <c r="J25" s="7"/>
    </row>
    <row r="26" spans="2:10">
      <c r="B26" s="5"/>
      <c r="D26" s="9"/>
      <c r="E26" s="9"/>
      <c r="F26" s="9"/>
      <c r="G26" s="9"/>
      <c r="H26" s="26"/>
      <c r="J26" s="7"/>
    </row>
    <row r="27" spans="2:10">
      <c r="B27" s="5"/>
      <c r="D27" s="9"/>
      <c r="E27" s="9"/>
      <c r="F27" s="9"/>
      <c r="G27" s="9"/>
      <c r="H27" s="25"/>
      <c r="J27" s="7"/>
    </row>
    <row r="28" spans="2:10">
      <c r="B28" s="5"/>
      <c r="J28" s="7"/>
    </row>
    <row r="29" spans="2:10">
      <c r="B29" s="5"/>
      <c r="J29" s="7"/>
    </row>
    <row r="30" spans="2:10">
      <c r="B30" s="5"/>
      <c r="J30" s="7"/>
    </row>
    <row r="31" spans="2:10">
      <c r="B31" s="5"/>
      <c r="J31" s="7"/>
    </row>
    <row r="32" spans="2:10">
      <c r="B32" s="5"/>
      <c r="J32" s="7"/>
    </row>
    <row r="33" spans="2:10">
      <c r="B33" s="5"/>
      <c r="J33" s="7"/>
    </row>
    <row r="34" spans="2:10">
      <c r="B34" s="5"/>
      <c r="J34" s="7"/>
    </row>
    <row r="35" spans="2:10">
      <c r="B35" s="5"/>
      <c r="J35" s="7"/>
    </row>
    <row r="36" spans="2:10">
      <c r="B36" s="5"/>
      <c r="J36" s="7"/>
    </row>
    <row r="37" spans="2:10">
      <c r="B37" s="5"/>
      <c r="J37" s="7"/>
    </row>
    <row r="38" spans="2:10">
      <c r="B38" s="5"/>
      <c r="J38" s="7"/>
    </row>
    <row r="39" spans="2:10">
      <c r="B39" s="5"/>
      <c r="J39" s="7"/>
    </row>
    <row r="40" spans="2:10">
      <c r="B40" s="119" t="s">
        <v>151</v>
      </c>
      <c r="C40" s="120"/>
      <c r="D40" s="120"/>
      <c r="E40" s="120"/>
      <c r="F40" s="120"/>
      <c r="G40" s="120"/>
      <c r="H40" s="120"/>
      <c r="I40" s="120"/>
      <c r="J40" s="121"/>
    </row>
    <row r="41" spans="2:10" ht="14.25" thickBot="1">
      <c r="B41" s="122"/>
      <c r="C41" s="123"/>
      <c r="D41" s="123"/>
      <c r="E41" s="123"/>
      <c r="F41" s="123"/>
      <c r="G41" s="123"/>
      <c r="H41" s="123"/>
      <c r="I41" s="123"/>
      <c r="J41" s="124"/>
    </row>
  </sheetData>
  <sheetProtection sheet="1" objects="1" scenarios="1"/>
  <mergeCells count="2">
    <mergeCell ref="B3:J3"/>
    <mergeCell ref="B40:J41"/>
  </mergeCells>
  <phoneticPr fontId="1"/>
  <dataValidations count="2">
    <dataValidation type="decimal" operator="lessThanOrEqual" allowBlank="1" showInputMessage="1" showErrorMessage="1" error="1.5ｍ以下の数値を入力してください" sqref="F7">
      <formula1>1.5</formula1>
    </dataValidation>
    <dataValidation type="decimal" operator="lessThanOrEqual" allowBlank="1" showInputMessage="1" showErrorMessage="1" error="1.5m以下の数値を入力してください" sqref="F5">
      <formula1>1.5</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2"/>
  <sheetViews>
    <sheetView view="pageBreakPreview" topLeftCell="A16" zoomScale="96" zoomScaleNormal="100" zoomScaleSheetLayoutView="96" workbookViewId="0">
      <selection activeCell="J22" sqref="J22"/>
    </sheetView>
  </sheetViews>
  <sheetFormatPr defaultRowHeight="13.5"/>
  <cols>
    <col min="1" max="1" width="4.625" customWidth="1"/>
    <col min="2" max="2" width="4.25" customWidth="1"/>
    <col min="3" max="3" width="13.875" bestFit="1" customWidth="1"/>
    <col min="4" max="4" width="12.625" bestFit="1" customWidth="1"/>
    <col min="7" max="7" width="21.125" customWidth="1"/>
    <col min="8" max="8" width="10.5" bestFit="1" customWidth="1"/>
    <col min="11" max="11" width="4.25" customWidth="1"/>
    <col min="14" max="14" width="15.375" customWidth="1"/>
  </cols>
  <sheetData>
    <row r="1" spans="2:16" ht="14.25" thickBot="1"/>
    <row r="2" spans="2:16">
      <c r="B2" s="2"/>
      <c r="C2" s="3"/>
      <c r="D2" s="3"/>
      <c r="E2" s="3"/>
      <c r="F2" s="3"/>
      <c r="G2" s="3"/>
      <c r="H2" s="3"/>
      <c r="I2" s="3"/>
      <c r="J2" s="4"/>
    </row>
    <row r="3" spans="2:16" ht="18.75">
      <c r="B3" s="112" t="s">
        <v>153</v>
      </c>
      <c r="C3" s="113"/>
      <c r="D3" s="113"/>
      <c r="E3" s="113"/>
      <c r="F3" s="113"/>
      <c r="G3" s="113"/>
      <c r="H3" s="113"/>
      <c r="I3" s="113"/>
      <c r="J3" s="114"/>
      <c r="K3" s="1"/>
      <c r="L3" s="1"/>
    </row>
    <row r="4" spans="2:16" ht="18.75">
      <c r="B4" s="16"/>
      <c r="C4" s="51" t="s">
        <v>161</v>
      </c>
      <c r="F4" s="6"/>
      <c r="J4" s="7"/>
      <c r="K4" s="1"/>
      <c r="L4" s="1"/>
      <c r="N4" s="34" t="s">
        <v>169</v>
      </c>
      <c r="O4" s="38" t="s">
        <v>79</v>
      </c>
      <c r="P4" s="34" t="s">
        <v>80</v>
      </c>
    </row>
    <row r="5" spans="2:16">
      <c r="B5" s="5"/>
      <c r="C5" t="s">
        <v>10</v>
      </c>
      <c r="D5" s="51"/>
      <c r="F5" s="80">
        <v>1</v>
      </c>
      <c r="G5" t="s">
        <v>14</v>
      </c>
      <c r="H5" s="51"/>
      <c r="J5" s="7"/>
      <c r="N5" s="34" t="s">
        <v>81</v>
      </c>
      <c r="O5" s="41">
        <v>0.5</v>
      </c>
      <c r="P5" s="34"/>
    </row>
    <row r="6" spans="2:16">
      <c r="B6" s="5"/>
      <c r="C6" t="s">
        <v>11</v>
      </c>
      <c r="F6" s="80">
        <v>18</v>
      </c>
      <c r="G6" t="s">
        <v>14</v>
      </c>
      <c r="J6" s="7"/>
      <c r="N6" s="34" t="s">
        <v>82</v>
      </c>
      <c r="O6" s="41">
        <v>0.75</v>
      </c>
      <c r="P6" s="34"/>
    </row>
    <row r="7" spans="2:16">
      <c r="B7" s="5"/>
      <c r="C7" t="s">
        <v>12</v>
      </c>
      <c r="D7" s="51"/>
      <c r="F7" s="80">
        <v>1.5</v>
      </c>
      <c r="G7" t="s">
        <v>14</v>
      </c>
      <c r="H7" s="33"/>
      <c r="J7" s="7"/>
      <c r="N7" s="34" t="s">
        <v>83</v>
      </c>
      <c r="O7" s="41">
        <v>0.1</v>
      </c>
      <c r="P7" s="34"/>
    </row>
    <row r="8" spans="2:16">
      <c r="B8" s="5"/>
      <c r="C8" s="82" t="s">
        <v>163</v>
      </c>
      <c r="D8" s="71">
        <f>F8*1000</f>
        <v>150</v>
      </c>
      <c r="F8" s="81">
        <v>0.15</v>
      </c>
      <c r="G8" t="s">
        <v>14</v>
      </c>
      <c r="H8" s="82" t="s">
        <v>160</v>
      </c>
      <c r="J8" s="7"/>
      <c r="N8" s="34" t="s">
        <v>84</v>
      </c>
      <c r="O8" s="42">
        <v>0.15</v>
      </c>
      <c r="P8" s="34"/>
    </row>
    <row r="9" spans="2:16">
      <c r="B9" s="5"/>
      <c r="C9" t="s">
        <v>177</v>
      </c>
      <c r="D9" s="71"/>
      <c r="F9" s="84">
        <v>35</v>
      </c>
      <c r="G9" t="s">
        <v>120</v>
      </c>
      <c r="H9" s="82" t="s">
        <v>173</v>
      </c>
      <c r="J9" s="7"/>
      <c r="N9" s="34" t="s">
        <v>85</v>
      </c>
      <c r="O9" s="41">
        <v>0.2</v>
      </c>
      <c r="P9" s="34"/>
    </row>
    <row r="10" spans="2:16">
      <c r="B10" s="5"/>
      <c r="J10" s="7"/>
      <c r="N10" s="34" t="s">
        <v>86</v>
      </c>
      <c r="O10" s="41">
        <v>0.25</v>
      </c>
      <c r="P10" s="34"/>
    </row>
    <row r="11" spans="2:16">
      <c r="B11" s="5"/>
      <c r="C11" t="s">
        <v>0</v>
      </c>
      <c r="D11" t="s">
        <v>1</v>
      </c>
      <c r="E11" s="6" t="s">
        <v>2</v>
      </c>
      <c r="F11" t="s">
        <v>13</v>
      </c>
      <c r="J11" s="7"/>
      <c r="N11" s="34" t="s">
        <v>87</v>
      </c>
      <c r="O11" s="41">
        <v>0.3</v>
      </c>
      <c r="P11" s="34"/>
    </row>
    <row r="12" spans="2:16">
      <c r="B12" s="5"/>
      <c r="C12" s="82" t="s">
        <v>162</v>
      </c>
      <c r="E12" s="6" t="s">
        <v>29</v>
      </c>
      <c r="F12" s="72" t="s">
        <v>116</v>
      </c>
      <c r="H12">
        <f>ROUNDDOWN(3.297*F6+(1.971*F7+4.663),3)</f>
        <v>66.965000000000003</v>
      </c>
      <c r="J12" s="7"/>
      <c r="N12" s="34" t="s">
        <v>88</v>
      </c>
      <c r="O12" s="41">
        <v>0.35</v>
      </c>
      <c r="P12" s="34"/>
    </row>
    <row r="13" spans="2:16">
      <c r="B13" s="5"/>
      <c r="E13" s="6" t="s">
        <v>30</v>
      </c>
      <c r="F13" s="1" t="s">
        <v>118</v>
      </c>
      <c r="H13" s="1">
        <f>ROUNDDOWN((1.401*F7+0.684)*F6+(1.214*F7-0.834),3)</f>
        <v>51.125999999999998</v>
      </c>
      <c r="J13" s="7"/>
      <c r="N13" s="34" t="s">
        <v>89</v>
      </c>
      <c r="O13" s="43">
        <v>0.4</v>
      </c>
      <c r="P13" s="34"/>
    </row>
    <row r="14" spans="2:16">
      <c r="B14" s="5"/>
      <c r="E14" s="6" t="s">
        <v>2</v>
      </c>
      <c r="F14" s="1"/>
      <c r="H14" s="1">
        <f>ROUNDDOWN(H12*F5+H13,3)</f>
        <v>118.09099999999999</v>
      </c>
      <c r="J14" s="7"/>
      <c r="N14" s="91"/>
      <c r="O14" s="92"/>
      <c r="P14" s="91"/>
    </row>
    <row r="15" spans="2:16">
      <c r="B15" s="5"/>
      <c r="J15" s="7"/>
    </row>
    <row r="16" spans="2:16">
      <c r="B16" s="5"/>
      <c r="D16" t="s">
        <v>32</v>
      </c>
      <c r="E16" s="6" t="s">
        <v>33</v>
      </c>
      <c r="H16" s="1">
        <f>ROUNDDOWN(H14*基本式!F8*基本式!F9,3)</f>
        <v>10.33</v>
      </c>
      <c r="I16" t="s">
        <v>34</v>
      </c>
      <c r="J16" s="7"/>
    </row>
    <row r="17" spans="2:10">
      <c r="B17" s="5"/>
      <c r="J17" s="7"/>
    </row>
    <row r="18" spans="2:10">
      <c r="B18" s="5"/>
      <c r="D18" s="28" t="s">
        <v>9</v>
      </c>
      <c r="E18" s="29" t="s">
        <v>35</v>
      </c>
      <c r="F18" s="28" t="s">
        <v>36</v>
      </c>
      <c r="G18" s="28"/>
      <c r="H18" s="30">
        <f>ROUNDDOWN(H16*F6,3)</f>
        <v>185.94</v>
      </c>
      <c r="J18" s="7"/>
    </row>
    <row r="19" spans="2:10">
      <c r="B19" s="5"/>
      <c r="J19" s="7"/>
    </row>
    <row r="20" spans="2:10">
      <c r="B20" s="5"/>
      <c r="D20" s="27" t="s">
        <v>37</v>
      </c>
      <c r="E20" t="s">
        <v>172</v>
      </c>
      <c r="J20" s="7"/>
    </row>
    <row r="21" spans="2:10">
      <c r="B21" s="5"/>
      <c r="E21" t="s">
        <v>39</v>
      </c>
      <c r="H21" s="1">
        <f>ROUNDDOWN(F8*F8*3.14/4,3)</f>
        <v>1.7000000000000001E-2</v>
      </c>
      <c r="J21" s="7"/>
    </row>
    <row r="22" spans="2:10">
      <c r="B22" s="5"/>
      <c r="E22" t="s">
        <v>40</v>
      </c>
      <c r="H22" s="1">
        <f>ROUNDDOWN((F5*F7-H21)*F9*0.01,3)</f>
        <v>0.51900000000000002</v>
      </c>
      <c r="J22" s="7"/>
    </row>
    <row r="23" spans="2:10">
      <c r="B23" s="5"/>
      <c r="E23" t="s">
        <v>15</v>
      </c>
      <c r="H23" s="10">
        <f>H21+H22</f>
        <v>0.53600000000000003</v>
      </c>
      <c r="J23" s="7"/>
    </row>
    <row r="24" spans="2:10">
      <c r="B24" s="5"/>
      <c r="H24" s="11"/>
      <c r="J24" s="7"/>
    </row>
    <row r="25" spans="2:10">
      <c r="B25" s="5"/>
      <c r="D25" s="28" t="s">
        <v>38</v>
      </c>
      <c r="E25" s="28" t="s">
        <v>41</v>
      </c>
      <c r="F25" s="28"/>
      <c r="G25" s="28"/>
      <c r="H25" s="31">
        <f>ROUNDDOWN(H23*F6,3)</f>
        <v>9.6479999999999997</v>
      </c>
      <c r="J25" s="7"/>
    </row>
    <row r="26" spans="2:10">
      <c r="B26" s="5"/>
      <c r="D26" s="9"/>
      <c r="E26" s="9"/>
      <c r="F26" s="9"/>
      <c r="G26" s="9"/>
      <c r="H26" s="26"/>
      <c r="J26" s="7"/>
    </row>
    <row r="27" spans="2:10">
      <c r="B27" s="5"/>
      <c r="D27" s="9"/>
      <c r="E27" s="9"/>
      <c r="F27" s="9"/>
      <c r="G27" s="9"/>
      <c r="H27" s="25"/>
      <c r="J27" s="7"/>
    </row>
    <row r="28" spans="2:10">
      <c r="B28" s="5"/>
      <c r="J28" s="7"/>
    </row>
    <row r="29" spans="2:10">
      <c r="B29" s="5"/>
      <c r="J29" s="7"/>
    </row>
    <row r="30" spans="2:10">
      <c r="B30" s="5"/>
      <c r="J30" s="7"/>
    </row>
    <row r="31" spans="2:10">
      <c r="B31" s="5"/>
      <c r="J31" s="7"/>
    </row>
    <row r="32" spans="2:10">
      <c r="B32" s="5"/>
      <c r="J32" s="7"/>
    </row>
    <row r="33" spans="2:10">
      <c r="B33" s="5"/>
      <c r="J33" s="7"/>
    </row>
    <row r="34" spans="2:10">
      <c r="B34" s="5"/>
      <c r="J34" s="7"/>
    </row>
    <row r="35" spans="2:10">
      <c r="B35" s="5"/>
      <c r="J35" s="7"/>
    </row>
    <row r="36" spans="2:10">
      <c r="B36" s="5"/>
      <c r="J36" s="7"/>
    </row>
    <row r="37" spans="2:10">
      <c r="B37" s="5"/>
      <c r="J37" s="7"/>
    </row>
    <row r="38" spans="2:10">
      <c r="B38" s="5"/>
      <c r="J38" s="7"/>
    </row>
    <row r="39" spans="2:10">
      <c r="B39" s="5"/>
      <c r="J39" s="7"/>
    </row>
    <row r="40" spans="2:10">
      <c r="B40" s="5"/>
      <c r="J40" s="7"/>
    </row>
    <row r="41" spans="2:10">
      <c r="B41" s="125" t="s">
        <v>156</v>
      </c>
      <c r="C41" s="120"/>
      <c r="D41" s="120"/>
      <c r="E41" s="120"/>
      <c r="F41" s="120"/>
      <c r="G41" s="120"/>
      <c r="H41" s="120"/>
      <c r="I41" s="120"/>
      <c r="J41" s="121"/>
    </row>
    <row r="42" spans="2:10" ht="14.25" thickBot="1">
      <c r="B42" s="122"/>
      <c r="C42" s="123"/>
      <c r="D42" s="123"/>
      <c r="E42" s="123"/>
      <c r="F42" s="123"/>
      <c r="G42" s="123"/>
      <c r="H42" s="123"/>
      <c r="I42" s="123"/>
      <c r="J42" s="124"/>
    </row>
  </sheetData>
  <sheetProtection sheet="1" objects="1" scenarios="1"/>
  <mergeCells count="2">
    <mergeCell ref="B3:J3"/>
    <mergeCell ref="B41:J42"/>
  </mergeCells>
  <phoneticPr fontId="1"/>
  <dataValidations count="2">
    <dataValidation operator="lessThan" allowBlank="1" showInputMessage="1" showErrorMessage="1" error="1.5m以下の数値を入力してください" sqref="F5"/>
    <dataValidation operator="lessThanOrEqual" allowBlank="1" showInputMessage="1" showErrorMessage="1" error="1.5ｍ以下の数値を入力してください" sqref="F7"/>
  </dataValidations>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64"/>
  <sheetViews>
    <sheetView view="pageBreakPreview" zoomScale="82" zoomScaleNormal="100" zoomScaleSheetLayoutView="82" workbookViewId="0">
      <selection activeCell="G19" sqref="G19"/>
    </sheetView>
  </sheetViews>
  <sheetFormatPr defaultRowHeight="13.5"/>
  <cols>
    <col min="1" max="1" width="5.25" customWidth="1"/>
    <col min="3" max="3" width="16.125" bestFit="1" customWidth="1"/>
    <col min="4" max="4" width="18.5" customWidth="1"/>
    <col min="5" max="5" width="8.25" customWidth="1"/>
    <col min="7" max="7" width="10.625" customWidth="1"/>
    <col min="8" max="8" width="6.25" customWidth="1"/>
    <col min="9" max="9" width="8.625" customWidth="1"/>
    <col min="10" max="10" width="9.5" customWidth="1"/>
    <col min="11" max="11" width="3.125" customWidth="1"/>
  </cols>
  <sheetData>
    <row r="1" spans="2:10" ht="14.25" thickBot="1"/>
    <row r="2" spans="2:10">
      <c r="B2" s="2"/>
      <c r="C2" s="3"/>
      <c r="D2" s="3"/>
      <c r="E2" s="3"/>
      <c r="F2" s="3"/>
      <c r="G2" s="3"/>
      <c r="H2" s="3"/>
      <c r="I2" s="3"/>
      <c r="J2" s="4"/>
    </row>
    <row r="3" spans="2:10" ht="18.75">
      <c r="B3" s="112" t="s">
        <v>111</v>
      </c>
      <c r="C3" s="113"/>
      <c r="D3" s="113"/>
      <c r="E3" s="113"/>
      <c r="F3" s="113"/>
      <c r="G3" s="113"/>
      <c r="H3" s="113"/>
      <c r="I3" s="113"/>
      <c r="J3" s="114"/>
    </row>
    <row r="4" spans="2:10" ht="18.75">
      <c r="B4" s="17"/>
      <c r="C4" s="21"/>
      <c r="D4" s="21"/>
      <c r="E4" s="21"/>
      <c r="F4" s="21"/>
      <c r="G4" s="21"/>
      <c r="H4" s="21"/>
      <c r="I4" s="21"/>
      <c r="J4" s="7"/>
    </row>
    <row r="5" spans="2:10">
      <c r="B5" s="18"/>
      <c r="C5" t="s">
        <v>50</v>
      </c>
      <c r="D5" s="80">
        <v>5</v>
      </c>
      <c r="E5" t="s">
        <v>14</v>
      </c>
      <c r="F5" s="82" t="s">
        <v>164</v>
      </c>
      <c r="G5" s="48"/>
      <c r="H5" s="49"/>
      <c r="I5" s="49"/>
      <c r="J5" s="7"/>
    </row>
    <row r="6" spans="2:10">
      <c r="B6" s="5"/>
      <c r="C6" t="s">
        <v>105</v>
      </c>
      <c r="D6" s="83">
        <v>0.65</v>
      </c>
      <c r="E6" t="s">
        <v>14</v>
      </c>
      <c r="F6" s="33"/>
      <c r="G6" s="48"/>
      <c r="J6" s="7"/>
    </row>
    <row r="7" spans="2:10">
      <c r="B7" s="18"/>
      <c r="C7" t="s">
        <v>49</v>
      </c>
      <c r="D7" s="80">
        <v>1</v>
      </c>
      <c r="E7" t="s">
        <v>14</v>
      </c>
      <c r="F7" s="82" t="s">
        <v>107</v>
      </c>
      <c r="G7" s="12"/>
      <c r="J7" s="7"/>
    </row>
    <row r="8" spans="2:10">
      <c r="B8" s="5"/>
      <c r="C8" t="s">
        <v>104</v>
      </c>
      <c r="D8" s="84">
        <v>0.4</v>
      </c>
      <c r="E8" t="s">
        <v>14</v>
      </c>
      <c r="J8" s="7"/>
    </row>
    <row r="9" spans="2:10">
      <c r="B9" s="5"/>
      <c r="C9" t="s">
        <v>177</v>
      </c>
      <c r="D9" s="84">
        <v>35</v>
      </c>
      <c r="E9" t="s">
        <v>174</v>
      </c>
      <c r="F9" t="s">
        <v>175</v>
      </c>
      <c r="J9" s="7"/>
    </row>
    <row r="10" spans="2:10">
      <c r="B10" s="5"/>
      <c r="J10" s="7"/>
    </row>
    <row r="11" spans="2:10" ht="15.75">
      <c r="B11" s="5"/>
      <c r="C11" t="s">
        <v>16</v>
      </c>
      <c r="G11" s="12"/>
      <c r="J11" s="7"/>
    </row>
    <row r="12" spans="2:10">
      <c r="B12" s="5"/>
      <c r="C12" t="s">
        <v>17</v>
      </c>
      <c r="D12" t="s">
        <v>19</v>
      </c>
      <c r="E12">
        <f>ROUNDDOWN(0.12*D7+0.985,3)</f>
        <v>1.105</v>
      </c>
      <c r="G12" s="12"/>
      <c r="J12" s="7"/>
    </row>
    <row r="13" spans="2:10">
      <c r="B13" s="5"/>
      <c r="C13" t="s">
        <v>3</v>
      </c>
      <c r="D13" t="s">
        <v>20</v>
      </c>
      <c r="E13">
        <f>ROUNDDOWN(7.837*D7+0.82,3)</f>
        <v>8.657</v>
      </c>
      <c r="G13" s="12"/>
      <c r="J13" s="7"/>
    </row>
    <row r="14" spans="2:10">
      <c r="B14" s="19"/>
      <c r="C14" t="s">
        <v>18</v>
      </c>
      <c r="D14" t="s">
        <v>21</v>
      </c>
      <c r="E14">
        <f>ROUNDDOWN(2.858*D7-0.283,3)</f>
        <v>2.5750000000000002</v>
      </c>
      <c r="G14" s="12"/>
      <c r="J14" s="7"/>
    </row>
    <row r="15" spans="2:10">
      <c r="B15" s="5"/>
      <c r="G15" s="12"/>
      <c r="J15" s="7"/>
    </row>
    <row r="16" spans="2:10">
      <c r="B16" s="5"/>
      <c r="C16" t="s">
        <v>8</v>
      </c>
      <c r="D16">
        <f>ROUNDDOWN(E12*D5*D5+E13*D5+E14,3)</f>
        <v>73.484999999999999</v>
      </c>
      <c r="G16" s="12"/>
      <c r="J16" s="7"/>
    </row>
    <row r="17" spans="2:10">
      <c r="B17" s="5"/>
      <c r="G17" s="12"/>
      <c r="J17" s="7"/>
    </row>
    <row r="18" spans="2:10">
      <c r="B18" s="5"/>
      <c r="C18" t="s">
        <v>45</v>
      </c>
      <c r="D18" t="s">
        <v>22</v>
      </c>
      <c r="E18" s="1">
        <f>ROUNDDOWN(D16*0.108*0.81,3)</f>
        <v>6.4279999999999999</v>
      </c>
      <c r="G18" s="12"/>
      <c r="J18" s="7"/>
    </row>
    <row r="19" spans="2:10">
      <c r="B19" s="5"/>
      <c r="G19" s="12"/>
      <c r="J19" s="7"/>
    </row>
    <row r="20" spans="2:10">
      <c r="B20" s="5"/>
      <c r="C20" t="s">
        <v>23</v>
      </c>
      <c r="G20" s="12"/>
      <c r="J20" s="7"/>
    </row>
    <row r="21" spans="2:10">
      <c r="B21" s="5"/>
      <c r="C21" t="s">
        <v>24</v>
      </c>
      <c r="D21" t="s">
        <v>26</v>
      </c>
      <c r="E21" s="20">
        <f>ROUNDDOWN((3/2*D5+D7)/(2*D5+D7),2)</f>
        <v>0.77</v>
      </c>
      <c r="G21" s="12"/>
      <c r="J21" s="7"/>
    </row>
    <row r="22" spans="2:10">
      <c r="B22" s="5"/>
      <c r="C22" t="s">
        <v>25</v>
      </c>
      <c r="D22" t="s">
        <v>96</v>
      </c>
      <c r="E22" s="20">
        <f>ROUNDDOWN((D5+D7)/(2*D5+D7),2)</f>
        <v>0.54</v>
      </c>
      <c r="G22" s="12"/>
      <c r="J22" s="7"/>
    </row>
    <row r="23" spans="2:10">
      <c r="B23" s="5"/>
      <c r="J23" s="7"/>
    </row>
    <row r="24" spans="2:10">
      <c r="B24" s="5"/>
      <c r="C24" s="34" t="s">
        <v>91</v>
      </c>
      <c r="D24" s="34" t="s">
        <v>98</v>
      </c>
      <c r="E24" s="34" t="s">
        <v>9</v>
      </c>
      <c r="F24" s="47" t="s">
        <v>90</v>
      </c>
      <c r="G24" s="34" t="s">
        <v>93</v>
      </c>
      <c r="J24" s="7"/>
    </row>
    <row r="25" spans="2:10">
      <c r="B25" s="5"/>
      <c r="C25" s="34" t="s">
        <v>27</v>
      </c>
      <c r="D25" s="34" t="s">
        <v>94</v>
      </c>
      <c r="E25" s="38">
        <f>E18</f>
        <v>6.4279999999999999</v>
      </c>
      <c r="F25" s="85">
        <v>0</v>
      </c>
      <c r="G25" s="38">
        <f>ROUNDDOWN(E25*F25,3)</f>
        <v>0</v>
      </c>
      <c r="J25" s="7"/>
    </row>
    <row r="26" spans="2:10">
      <c r="B26" s="5"/>
      <c r="C26" s="34" t="s">
        <v>42</v>
      </c>
      <c r="D26" s="34" t="s">
        <v>95</v>
      </c>
      <c r="E26" s="38">
        <f>ROUNDDOWN(E18*E21,3)</f>
        <v>4.9489999999999998</v>
      </c>
      <c r="F26" s="85">
        <v>2</v>
      </c>
      <c r="G26" s="38">
        <f>ROUNDDOWN(E26*F26,3)</f>
        <v>9.8979999999999997</v>
      </c>
      <c r="J26" s="7"/>
    </row>
    <row r="27" spans="2:10">
      <c r="B27" s="5"/>
      <c r="C27" s="34" t="s">
        <v>43</v>
      </c>
      <c r="D27" s="34" t="s">
        <v>97</v>
      </c>
      <c r="E27" s="38">
        <f>ROUNDDOWN(E18*E22,3)</f>
        <v>3.4710000000000001</v>
      </c>
      <c r="F27" s="85">
        <v>0</v>
      </c>
      <c r="G27" s="38">
        <f>ROUNDDOWN(E27*F27,3)</f>
        <v>0</v>
      </c>
      <c r="J27" s="7"/>
    </row>
    <row r="28" spans="2:10">
      <c r="B28" s="5"/>
      <c r="G28" s="12"/>
      <c r="J28" s="7"/>
    </row>
    <row r="29" spans="2:10">
      <c r="B29" s="5"/>
      <c r="J29" s="7"/>
    </row>
    <row r="30" spans="2:10">
      <c r="B30" s="5"/>
      <c r="J30" s="7"/>
    </row>
    <row r="31" spans="2:10">
      <c r="B31" s="5"/>
      <c r="G31" s="23"/>
      <c r="J31" s="7"/>
    </row>
    <row r="32" spans="2:10">
      <c r="B32" s="5"/>
      <c r="C32" s="28" t="s">
        <v>47</v>
      </c>
      <c r="D32" s="28" t="s">
        <v>48</v>
      </c>
      <c r="E32" s="30">
        <f>ROUNDDOWN(G25+G26+G27,3)</f>
        <v>9.8979999999999997</v>
      </c>
      <c r="F32" s="28" t="s">
        <v>34</v>
      </c>
      <c r="J32" s="7"/>
    </row>
    <row r="33" spans="2:10">
      <c r="B33" s="5"/>
      <c r="J33" s="7"/>
    </row>
    <row r="34" spans="2:10">
      <c r="B34" s="5"/>
      <c r="J34" s="7"/>
    </row>
    <row r="35" spans="2:10">
      <c r="B35" s="5"/>
      <c r="C35" s="27" t="s">
        <v>37</v>
      </c>
      <c r="D35" t="s">
        <v>176</v>
      </c>
      <c r="J35" s="7"/>
    </row>
    <row r="36" spans="2:10">
      <c r="B36" s="5"/>
      <c r="D36" t="s">
        <v>52</v>
      </c>
      <c r="G36" s="1">
        <f>D8*D8*3.14/4*(D6)</f>
        <v>8.1640000000000018E-2</v>
      </c>
      <c r="J36" s="7"/>
    </row>
    <row r="37" spans="2:10">
      <c r="B37" s="5"/>
      <c r="D37" t="s">
        <v>40</v>
      </c>
      <c r="G37" s="1">
        <f>(D5*D7*D7-D8*D8*3.14/4*(D6))*D9*0.01</f>
        <v>1.7214259999999999</v>
      </c>
      <c r="J37" s="7"/>
    </row>
    <row r="38" spans="2:10">
      <c r="B38" s="5"/>
      <c r="D38" t="s">
        <v>15</v>
      </c>
      <c r="G38" s="10">
        <f>ROUNDDOWN(G36+G37,3)</f>
        <v>1.8029999999999999</v>
      </c>
      <c r="J38" s="7"/>
    </row>
    <row r="39" spans="2:10">
      <c r="B39" s="5"/>
      <c r="G39" s="11"/>
      <c r="J39" s="7"/>
    </row>
    <row r="40" spans="2:10">
      <c r="B40" s="5"/>
      <c r="C40" s="28" t="s">
        <v>38</v>
      </c>
      <c r="D40" s="28" t="s">
        <v>53</v>
      </c>
      <c r="E40" s="28"/>
      <c r="F40" s="28"/>
      <c r="G40" s="31">
        <f>ROUNDDOWN(G38*(F25+F26+F27),3)</f>
        <v>3.6059999999999999</v>
      </c>
      <c r="J40" s="7"/>
    </row>
    <row r="41" spans="2:10">
      <c r="B41" s="5"/>
      <c r="C41" s="9"/>
      <c r="D41" s="9"/>
      <c r="E41" s="9"/>
      <c r="F41" s="9"/>
      <c r="G41" s="26"/>
      <c r="J41" s="7"/>
    </row>
    <row r="42" spans="2:10">
      <c r="B42" s="5"/>
      <c r="C42" s="9"/>
      <c r="D42" s="9"/>
      <c r="E42" s="9"/>
      <c r="F42" s="9"/>
      <c r="G42" s="25"/>
      <c r="J42" s="7"/>
    </row>
    <row r="43" spans="2:10">
      <c r="B43" s="5"/>
      <c r="J43" s="7"/>
    </row>
    <row r="44" spans="2:10">
      <c r="B44" s="5"/>
      <c r="J44" s="7"/>
    </row>
    <row r="45" spans="2:10">
      <c r="B45" s="5"/>
      <c r="J45" s="7"/>
    </row>
    <row r="46" spans="2:10">
      <c r="B46" s="5"/>
      <c r="J46" s="7"/>
    </row>
    <row r="47" spans="2:10">
      <c r="B47" s="5"/>
      <c r="J47" s="7"/>
    </row>
    <row r="48" spans="2:10">
      <c r="B48" s="5"/>
      <c r="J48" s="7"/>
    </row>
    <row r="49" spans="2:10">
      <c r="B49" s="5"/>
      <c r="J49" s="7"/>
    </row>
    <row r="50" spans="2:10">
      <c r="B50" s="5"/>
      <c r="J50" s="7"/>
    </row>
    <row r="51" spans="2:10">
      <c r="B51" s="5"/>
      <c r="J51" s="7"/>
    </row>
    <row r="52" spans="2:10">
      <c r="B52" s="5"/>
      <c r="J52" s="7"/>
    </row>
    <row r="53" spans="2:10">
      <c r="B53" s="5"/>
      <c r="J53" s="7"/>
    </row>
    <row r="54" spans="2:10">
      <c r="B54" s="5"/>
      <c r="J54" s="7"/>
    </row>
    <row r="55" spans="2:10">
      <c r="B55" s="5"/>
      <c r="J55" s="7"/>
    </row>
    <row r="56" spans="2:10">
      <c r="B56" s="5"/>
      <c r="J56" s="7"/>
    </row>
    <row r="57" spans="2:10">
      <c r="B57" s="5"/>
      <c r="J57" s="7"/>
    </row>
    <row r="58" spans="2:10">
      <c r="B58" s="5"/>
      <c r="J58" s="7"/>
    </row>
    <row r="59" spans="2:10">
      <c r="B59" s="5"/>
      <c r="J59" s="7"/>
    </row>
    <row r="60" spans="2:10">
      <c r="B60" s="95" t="s">
        <v>183</v>
      </c>
      <c r="J60" s="7"/>
    </row>
    <row r="61" spans="2:10">
      <c r="B61" s="95" t="s">
        <v>181</v>
      </c>
      <c r="J61" s="7"/>
    </row>
    <row r="62" spans="2:10">
      <c r="B62" s="96" t="s">
        <v>182</v>
      </c>
      <c r="J62" s="7"/>
    </row>
    <row r="63" spans="2:10">
      <c r="B63" s="126" t="s">
        <v>152</v>
      </c>
      <c r="C63" s="127"/>
      <c r="D63" s="127"/>
      <c r="E63" s="127"/>
      <c r="F63" s="127"/>
      <c r="G63" s="127"/>
      <c r="H63" s="127"/>
      <c r="I63" s="127"/>
      <c r="J63" s="128"/>
    </row>
    <row r="64" spans="2:10" ht="14.25" thickBot="1">
      <c r="B64" s="129"/>
      <c r="C64" s="130"/>
      <c r="D64" s="130"/>
      <c r="E64" s="130"/>
      <c r="F64" s="130"/>
      <c r="G64" s="130"/>
      <c r="H64" s="130"/>
      <c r="I64" s="130"/>
      <c r="J64" s="131"/>
    </row>
  </sheetData>
  <sheetProtection sheet="1" objects="1" scenarios="1"/>
  <mergeCells count="2">
    <mergeCell ref="B3:J3"/>
    <mergeCell ref="B63:J64"/>
  </mergeCells>
  <phoneticPr fontId="1"/>
  <dataValidations count="3">
    <dataValidation type="decimal" operator="lessThanOrEqual" allowBlank="1" showInputMessage="1" showErrorMessage="1" error="H≦5m以下で入力ください。" sqref="D5">
      <formula1>5</formula1>
    </dataValidation>
    <dataValidation type="decimal" allowBlank="1" showInputMessage="1" showErrorMessage="1" error="Ｗ≦１の範囲で入力ください。" promptTitle="Ｗ≦１の範囲で入力ください。" sqref="D7">
      <formula1>0</formula1>
      <formula2>1</formula2>
    </dataValidation>
    <dataValidation type="list" allowBlank="1" showInputMessage="1" showErrorMessage="1" sqref="D30">
      <formula1>$C$25:$C$27</formula1>
    </dataValidation>
  </dataValidations>
  <pageMargins left="0.7" right="0.7" top="0.75" bottom="0.75" header="0.3" footer="0.3"/>
  <pageSetup paperSize="9" scale="85" orientation="portrait" r:id="rId1"/>
  <colBreaks count="1" manualBreakCount="1">
    <brk id="11" max="62"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64"/>
  <sheetViews>
    <sheetView view="pageBreakPreview" zoomScale="91" zoomScaleNormal="100" zoomScaleSheetLayoutView="91" workbookViewId="0">
      <selection activeCell="J11" sqref="J11"/>
    </sheetView>
  </sheetViews>
  <sheetFormatPr defaultRowHeight="13.5"/>
  <cols>
    <col min="1" max="1" width="5.25" customWidth="1"/>
    <col min="3" max="3" width="16.125" bestFit="1" customWidth="1"/>
    <col min="4" max="4" width="27.25" customWidth="1"/>
    <col min="5" max="5" width="9.25" customWidth="1"/>
    <col min="7" max="7" width="10.625" customWidth="1"/>
    <col min="8" max="9" width="6.25" customWidth="1"/>
    <col min="10" max="10" width="9.5" customWidth="1"/>
    <col min="11" max="11" width="3.125" customWidth="1"/>
  </cols>
  <sheetData>
    <row r="1" spans="2:10" ht="14.25" thickBot="1"/>
    <row r="2" spans="2:10">
      <c r="B2" s="2"/>
      <c r="C2" s="3"/>
      <c r="D2" s="3"/>
      <c r="E2" s="3"/>
      <c r="F2" s="3"/>
      <c r="G2" s="3"/>
      <c r="H2" s="3"/>
      <c r="I2" s="3"/>
      <c r="J2" s="4"/>
    </row>
    <row r="3" spans="2:10" ht="18.75">
      <c r="B3" s="112" t="s">
        <v>154</v>
      </c>
      <c r="C3" s="113"/>
      <c r="D3" s="113"/>
      <c r="E3" s="113"/>
      <c r="F3" s="113"/>
      <c r="G3" s="113"/>
      <c r="H3" s="113"/>
      <c r="I3" s="113"/>
      <c r="J3" s="114"/>
    </row>
    <row r="4" spans="2:10" ht="18.75">
      <c r="B4" s="17"/>
      <c r="C4" s="21"/>
      <c r="D4" s="21"/>
      <c r="E4" s="21"/>
      <c r="F4" s="21"/>
      <c r="G4" s="21"/>
      <c r="H4" s="21"/>
      <c r="I4" s="21"/>
      <c r="J4" s="7"/>
    </row>
    <row r="5" spans="2:10">
      <c r="B5" s="18"/>
      <c r="C5" t="s">
        <v>50</v>
      </c>
      <c r="D5" s="80">
        <v>1</v>
      </c>
      <c r="E5" t="s">
        <v>14</v>
      </c>
      <c r="F5" s="82" t="s">
        <v>165</v>
      </c>
      <c r="G5" s="48"/>
      <c r="H5" s="49"/>
      <c r="I5" s="49"/>
      <c r="J5" s="7"/>
    </row>
    <row r="6" spans="2:10">
      <c r="B6" s="5"/>
      <c r="C6" t="s">
        <v>105</v>
      </c>
      <c r="D6" s="83">
        <v>0.65</v>
      </c>
      <c r="E6" t="s">
        <v>14</v>
      </c>
      <c r="F6" s="87"/>
      <c r="G6" s="48"/>
      <c r="J6" s="7"/>
    </row>
    <row r="7" spans="2:10">
      <c r="B7" s="18"/>
      <c r="C7" t="s">
        <v>49</v>
      </c>
      <c r="D7" s="80">
        <v>2</v>
      </c>
      <c r="E7" t="s">
        <v>14</v>
      </c>
      <c r="F7" s="86" t="s">
        <v>108</v>
      </c>
      <c r="G7" s="12"/>
      <c r="J7" s="7"/>
    </row>
    <row r="8" spans="2:10">
      <c r="B8" s="5"/>
      <c r="C8" t="s">
        <v>104</v>
      </c>
      <c r="D8" s="84">
        <v>0</v>
      </c>
      <c r="E8" t="s">
        <v>14</v>
      </c>
      <c r="F8" s="86"/>
      <c r="J8" s="7"/>
    </row>
    <row r="9" spans="2:10">
      <c r="B9" s="5"/>
      <c r="C9" t="s">
        <v>177</v>
      </c>
      <c r="D9" s="84">
        <v>95</v>
      </c>
      <c r="E9" t="s">
        <v>174</v>
      </c>
      <c r="F9" t="s">
        <v>175</v>
      </c>
      <c r="J9" s="7"/>
    </row>
    <row r="10" spans="2:10">
      <c r="B10" s="5"/>
      <c r="F10" s="86"/>
      <c r="J10" s="7"/>
    </row>
    <row r="11" spans="2:10">
      <c r="B11" s="5"/>
      <c r="C11" t="s">
        <v>109</v>
      </c>
      <c r="G11" s="12"/>
      <c r="J11" s="7"/>
    </row>
    <row r="12" spans="2:10">
      <c r="B12" s="5"/>
      <c r="C12" t="s">
        <v>17</v>
      </c>
      <c r="D12" s="52" t="s">
        <v>112</v>
      </c>
      <c r="E12">
        <f>ROUNDDOWN(-0.453*(D7)^2+8.289*D7+0.753,3)</f>
        <v>15.519</v>
      </c>
      <c r="G12" s="12"/>
      <c r="J12" s="7"/>
    </row>
    <row r="13" spans="2:10">
      <c r="B13" s="5"/>
      <c r="C13" t="s">
        <v>3</v>
      </c>
      <c r="D13" t="s">
        <v>110</v>
      </c>
      <c r="E13">
        <f>ROUNDDOWN(1.458*(D7^2)+1.27*D7+0.362,3)</f>
        <v>8.734</v>
      </c>
      <c r="G13" s="12"/>
      <c r="J13" s="7"/>
    </row>
    <row r="14" spans="2:10">
      <c r="B14" s="19"/>
      <c r="G14" s="12"/>
      <c r="J14" s="7"/>
    </row>
    <row r="15" spans="2:10">
      <c r="B15" s="5"/>
      <c r="G15" s="12"/>
      <c r="J15" s="7"/>
    </row>
    <row r="16" spans="2:10">
      <c r="B16" s="5"/>
      <c r="C16" t="s">
        <v>8</v>
      </c>
      <c r="D16">
        <f>ROUNDDOWN(E12*D5+E13,3)</f>
        <v>24.253</v>
      </c>
      <c r="G16" s="12"/>
      <c r="J16" s="7"/>
    </row>
    <row r="17" spans="2:10">
      <c r="B17" s="5"/>
      <c r="G17" s="12"/>
      <c r="J17" s="7"/>
    </row>
    <row r="18" spans="2:10">
      <c r="B18" s="5"/>
      <c r="C18" t="s">
        <v>45</v>
      </c>
      <c r="D18" t="s">
        <v>22</v>
      </c>
      <c r="E18" s="1">
        <f>ROUNDDOWN(D16*0.108*0.81,3)</f>
        <v>2.121</v>
      </c>
      <c r="G18" s="12"/>
      <c r="J18" s="7"/>
    </row>
    <row r="19" spans="2:10">
      <c r="B19" s="5"/>
      <c r="G19" s="12"/>
      <c r="J19" s="7"/>
    </row>
    <row r="20" spans="2:10">
      <c r="B20" s="5"/>
      <c r="C20" t="s">
        <v>23</v>
      </c>
      <c r="G20" s="12"/>
      <c r="J20" s="7"/>
    </row>
    <row r="21" spans="2:10">
      <c r="B21" s="5"/>
      <c r="C21" t="s">
        <v>24</v>
      </c>
      <c r="D21" t="s">
        <v>26</v>
      </c>
      <c r="E21" s="20">
        <f>ROUNDDOWN((3/2*D5+D7)/(2*D5+D7),2)</f>
        <v>0.87</v>
      </c>
      <c r="G21" s="12"/>
      <c r="J21" s="7"/>
    </row>
    <row r="22" spans="2:10">
      <c r="B22" s="5"/>
      <c r="C22" t="s">
        <v>25</v>
      </c>
      <c r="D22" t="s">
        <v>96</v>
      </c>
      <c r="E22" s="20">
        <f>ROUNDDOWN((D5+D7)/(2*D5+D7),2)</f>
        <v>0.75</v>
      </c>
      <c r="G22" s="12"/>
      <c r="J22" s="7"/>
    </row>
    <row r="23" spans="2:10">
      <c r="B23" s="5"/>
      <c r="J23" s="7"/>
    </row>
    <row r="24" spans="2:10">
      <c r="B24" s="5"/>
      <c r="C24" s="34" t="s">
        <v>91</v>
      </c>
      <c r="D24" s="34" t="s">
        <v>98</v>
      </c>
      <c r="E24" s="34" t="s">
        <v>9</v>
      </c>
      <c r="F24" s="47" t="s">
        <v>90</v>
      </c>
      <c r="G24" s="34" t="s">
        <v>93</v>
      </c>
      <c r="J24" s="7"/>
    </row>
    <row r="25" spans="2:10">
      <c r="B25" s="5"/>
      <c r="C25" s="34" t="s">
        <v>27</v>
      </c>
      <c r="D25" s="34" t="s">
        <v>94</v>
      </c>
      <c r="E25" s="38">
        <f>E18</f>
        <v>2.121</v>
      </c>
      <c r="F25" s="85">
        <v>1</v>
      </c>
      <c r="G25" s="38">
        <f>ROUNDDOWN(E25*F25,3)</f>
        <v>2.121</v>
      </c>
      <c r="J25" s="7"/>
    </row>
    <row r="26" spans="2:10">
      <c r="B26" s="5"/>
      <c r="C26" s="34" t="s">
        <v>42</v>
      </c>
      <c r="D26" s="34" t="s">
        <v>95</v>
      </c>
      <c r="E26" s="38">
        <f>ROUNDDOWN(E18*E21,3)</f>
        <v>1.845</v>
      </c>
      <c r="F26" s="85">
        <v>0</v>
      </c>
      <c r="G26" s="38">
        <f t="shared" ref="G26:G27" si="0">ROUNDDOWN(E26*F26,3)</f>
        <v>0</v>
      </c>
      <c r="J26" s="7"/>
    </row>
    <row r="27" spans="2:10">
      <c r="B27" s="5"/>
      <c r="C27" s="34" t="s">
        <v>43</v>
      </c>
      <c r="D27" s="34" t="s">
        <v>97</v>
      </c>
      <c r="E27" s="38">
        <f>ROUNDDOWN(E18*E22,3)</f>
        <v>1.59</v>
      </c>
      <c r="F27" s="85">
        <v>0</v>
      </c>
      <c r="G27" s="38">
        <f t="shared" si="0"/>
        <v>0</v>
      </c>
      <c r="J27" s="7"/>
    </row>
    <row r="28" spans="2:10">
      <c r="B28" s="5"/>
      <c r="G28" s="12"/>
      <c r="J28" s="7"/>
    </row>
    <row r="29" spans="2:10">
      <c r="B29" s="5"/>
      <c r="J29" s="7"/>
    </row>
    <row r="30" spans="2:10">
      <c r="B30" s="5"/>
      <c r="J30" s="7"/>
    </row>
    <row r="31" spans="2:10">
      <c r="B31" s="5"/>
      <c r="G31" s="23"/>
      <c r="J31" s="7"/>
    </row>
    <row r="32" spans="2:10">
      <c r="B32" s="5"/>
      <c r="C32" s="28" t="s">
        <v>47</v>
      </c>
      <c r="D32" s="28" t="s">
        <v>48</v>
      </c>
      <c r="E32" s="30">
        <f>ROUNDDOWN(G25+G26+G27,3)</f>
        <v>2.121</v>
      </c>
      <c r="F32" s="28" t="s">
        <v>34</v>
      </c>
      <c r="J32" s="7"/>
    </row>
    <row r="33" spans="2:10">
      <c r="B33" s="5"/>
      <c r="J33" s="7"/>
    </row>
    <row r="34" spans="2:10">
      <c r="B34" s="5"/>
      <c r="J34" s="7"/>
    </row>
    <row r="35" spans="2:10">
      <c r="B35" s="5"/>
      <c r="C35" s="27" t="s">
        <v>37</v>
      </c>
      <c r="D35" t="s">
        <v>178</v>
      </c>
      <c r="J35" s="7"/>
    </row>
    <row r="36" spans="2:10">
      <c r="B36" s="5"/>
      <c r="D36" t="s">
        <v>52</v>
      </c>
      <c r="G36" s="1">
        <f>D8*D8*3.14/4*(D6)</f>
        <v>0</v>
      </c>
      <c r="J36" s="7"/>
    </row>
    <row r="37" spans="2:10">
      <c r="B37" s="5"/>
      <c r="D37" t="s">
        <v>40</v>
      </c>
      <c r="G37" s="1">
        <f>(D5*D7*D7-D8*D8*3.14/4*(D6))*D9*0.01</f>
        <v>3.8000000000000003</v>
      </c>
      <c r="J37" s="7"/>
    </row>
    <row r="38" spans="2:10">
      <c r="B38" s="5"/>
      <c r="D38" t="s">
        <v>15</v>
      </c>
      <c r="G38" s="10">
        <f>ROUNDDOWN(G36+G37,3)</f>
        <v>3.8</v>
      </c>
      <c r="J38" s="7"/>
    </row>
    <row r="39" spans="2:10">
      <c r="B39" s="5"/>
      <c r="G39" s="11"/>
      <c r="J39" s="7"/>
    </row>
    <row r="40" spans="2:10">
      <c r="B40" s="5"/>
      <c r="C40" s="28" t="s">
        <v>38</v>
      </c>
      <c r="D40" s="28" t="s">
        <v>53</v>
      </c>
      <c r="E40" s="28"/>
      <c r="F40" s="28"/>
      <c r="G40" s="31">
        <f>ROUNDDOWN(G38*(F25+F26+F27),3)</f>
        <v>3.8</v>
      </c>
      <c r="J40" s="7"/>
    </row>
    <row r="41" spans="2:10">
      <c r="B41" s="5"/>
      <c r="C41" s="9"/>
      <c r="D41" s="9"/>
      <c r="E41" s="9"/>
      <c r="F41" s="9"/>
      <c r="G41" s="26"/>
      <c r="J41" s="7"/>
    </row>
    <row r="42" spans="2:10">
      <c r="B42" s="5"/>
      <c r="C42" s="9"/>
      <c r="D42" s="9"/>
      <c r="E42" s="9"/>
      <c r="F42" s="9"/>
      <c r="G42" s="25"/>
      <c r="J42" s="7"/>
    </row>
    <row r="43" spans="2:10">
      <c r="B43" s="5"/>
      <c r="J43" s="7"/>
    </row>
    <row r="44" spans="2:10">
      <c r="B44" s="5"/>
      <c r="J44" s="7"/>
    </row>
    <row r="45" spans="2:10">
      <c r="B45" s="5"/>
      <c r="J45" s="7"/>
    </row>
    <row r="46" spans="2:10">
      <c r="B46" s="5"/>
      <c r="J46" s="7"/>
    </row>
    <row r="47" spans="2:10">
      <c r="B47" s="5"/>
      <c r="J47" s="7"/>
    </row>
    <row r="48" spans="2:10">
      <c r="B48" s="5"/>
      <c r="J48" s="7"/>
    </row>
    <row r="49" spans="2:10">
      <c r="B49" s="5"/>
      <c r="J49" s="7"/>
    </row>
    <row r="50" spans="2:10">
      <c r="B50" s="5"/>
      <c r="J50" s="7"/>
    </row>
    <row r="51" spans="2:10">
      <c r="B51" s="5"/>
      <c r="J51" s="7"/>
    </row>
    <row r="52" spans="2:10">
      <c r="B52" s="5"/>
      <c r="J52" s="7"/>
    </row>
    <row r="53" spans="2:10">
      <c r="B53" s="5"/>
      <c r="J53" s="7"/>
    </row>
    <row r="54" spans="2:10">
      <c r="B54" s="5"/>
      <c r="J54" s="7"/>
    </row>
    <row r="55" spans="2:10">
      <c r="B55" s="5"/>
      <c r="J55" s="7"/>
    </row>
    <row r="56" spans="2:10">
      <c r="B56" s="5"/>
      <c r="J56" s="7"/>
    </row>
    <row r="57" spans="2:10">
      <c r="B57" s="5"/>
      <c r="J57" s="7"/>
    </row>
    <row r="58" spans="2:10">
      <c r="B58" s="5"/>
      <c r="J58" s="7"/>
    </row>
    <row r="59" spans="2:10">
      <c r="B59" s="5"/>
      <c r="J59" s="7"/>
    </row>
    <row r="60" spans="2:10">
      <c r="B60" s="95" t="s">
        <v>183</v>
      </c>
      <c r="J60" s="7"/>
    </row>
    <row r="61" spans="2:10">
      <c r="B61" s="95" t="s">
        <v>181</v>
      </c>
      <c r="J61" s="7"/>
    </row>
    <row r="62" spans="2:10">
      <c r="B62" s="96" t="s">
        <v>182</v>
      </c>
      <c r="J62" s="7"/>
    </row>
    <row r="63" spans="2:10">
      <c r="B63" s="126" t="s">
        <v>152</v>
      </c>
      <c r="C63" s="127"/>
      <c r="D63" s="127"/>
      <c r="E63" s="127"/>
      <c r="F63" s="127"/>
      <c r="G63" s="127"/>
      <c r="H63" s="127"/>
      <c r="I63" s="127"/>
      <c r="J63" s="128"/>
    </row>
    <row r="64" spans="2:10" ht="14.25" thickBot="1">
      <c r="B64" s="129"/>
      <c r="C64" s="130"/>
      <c r="D64" s="130"/>
      <c r="E64" s="130"/>
      <c r="F64" s="130"/>
      <c r="G64" s="130"/>
      <c r="H64" s="130"/>
      <c r="I64" s="130"/>
      <c r="J64" s="131"/>
    </row>
  </sheetData>
  <sheetProtection sheet="1" objects="1" scenarios="1"/>
  <mergeCells count="2">
    <mergeCell ref="B3:J3"/>
    <mergeCell ref="B63:J64"/>
  </mergeCells>
  <phoneticPr fontId="1"/>
  <dataValidations count="3">
    <dataValidation type="decimal" operator="lessThanOrEqual" allowBlank="1" showInputMessage="1" showErrorMessage="1" error="Ｈ≦5.0mの範囲でご入力ください" sqref="D5">
      <formula1>5</formula1>
    </dataValidation>
    <dataValidation type="decimal" operator="greaterThan" allowBlank="1" showInputMessage="1" showErrorMessage="1" error="1m＜W≦10mの範囲で入力ください。" sqref="D7">
      <formula1>1</formula1>
    </dataValidation>
    <dataValidation type="list" allowBlank="1" showInputMessage="1" showErrorMessage="1" sqref="D30">
      <formula1>$C$25:$C$27</formula1>
    </dataValidation>
  </dataValidations>
  <pageMargins left="0.7" right="0.7" top="0.75" bottom="0.75" header="0.3" footer="0.3"/>
  <pageSetup paperSize="9" scale="79" orientation="portrait" r:id="rId1"/>
  <colBreaks count="1" manualBreakCount="1">
    <brk id="11" max="62"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3"/>
  <sheetViews>
    <sheetView view="pageBreakPreview" zoomScale="91" zoomScaleNormal="100" zoomScaleSheetLayoutView="91" workbookViewId="0">
      <selection activeCell="I22" sqref="I22"/>
    </sheetView>
  </sheetViews>
  <sheetFormatPr defaultRowHeight="13.5"/>
  <cols>
    <col min="1" max="1" width="5.25" customWidth="1"/>
    <col min="3" max="3" width="16.125" bestFit="1" customWidth="1"/>
    <col min="4" max="4" width="31.875" customWidth="1"/>
    <col min="5" max="5" width="8.75" customWidth="1"/>
    <col min="7" max="7" width="10.625" customWidth="1"/>
    <col min="8" max="9" width="6.25" customWidth="1"/>
    <col min="10" max="10" width="9.5" customWidth="1"/>
    <col min="11" max="11" width="3.125" customWidth="1"/>
  </cols>
  <sheetData>
    <row r="1" spans="2:10" ht="14.25" thickBot="1"/>
    <row r="2" spans="2:10">
      <c r="B2" s="2"/>
      <c r="C2" s="3"/>
      <c r="D2" s="3"/>
      <c r="E2" s="3"/>
      <c r="F2" s="3"/>
      <c r="G2" s="3"/>
      <c r="H2" s="3"/>
      <c r="I2" s="3"/>
      <c r="J2" s="4"/>
    </row>
    <row r="3" spans="2:10" ht="18.75">
      <c r="B3" s="112" t="s">
        <v>155</v>
      </c>
      <c r="C3" s="113"/>
      <c r="D3" s="113"/>
      <c r="E3" s="113"/>
      <c r="F3" s="113"/>
      <c r="G3" s="113"/>
      <c r="H3" s="113"/>
      <c r="I3" s="113"/>
      <c r="J3" s="114"/>
    </row>
    <row r="4" spans="2:10" ht="18.75">
      <c r="B4" s="17"/>
      <c r="C4" s="21"/>
      <c r="D4" s="21"/>
      <c r="E4" s="21"/>
      <c r="F4" s="21"/>
      <c r="G4" s="21"/>
      <c r="H4" s="21"/>
      <c r="I4" s="21"/>
      <c r="J4" s="7"/>
    </row>
    <row r="5" spans="2:10">
      <c r="B5" s="18"/>
      <c r="C5" t="s">
        <v>50</v>
      </c>
      <c r="D5" s="80">
        <v>1.5</v>
      </c>
      <c r="E5" t="s">
        <v>14</v>
      </c>
      <c r="F5" s="51" t="s">
        <v>165</v>
      </c>
      <c r="G5" s="48"/>
      <c r="H5" s="49"/>
      <c r="I5" s="49"/>
      <c r="J5" s="7"/>
    </row>
    <row r="6" spans="2:10">
      <c r="B6" s="5"/>
      <c r="C6" t="s">
        <v>105</v>
      </c>
      <c r="D6" s="83">
        <v>1</v>
      </c>
      <c r="E6" t="s">
        <v>14</v>
      </c>
      <c r="F6" s="33"/>
      <c r="G6" s="48"/>
      <c r="J6" s="7"/>
    </row>
    <row r="7" spans="2:10">
      <c r="B7" s="5"/>
      <c r="C7" t="s">
        <v>117</v>
      </c>
      <c r="D7" s="80">
        <v>5.5</v>
      </c>
      <c r="E7" t="s">
        <v>14</v>
      </c>
      <c r="F7" s="51" t="s">
        <v>115</v>
      </c>
      <c r="G7" s="48"/>
      <c r="J7" s="7"/>
    </row>
    <row r="8" spans="2:10">
      <c r="B8" s="18"/>
      <c r="C8" t="s">
        <v>49</v>
      </c>
      <c r="D8" s="80">
        <v>3</v>
      </c>
      <c r="E8" t="s">
        <v>14</v>
      </c>
      <c r="F8" s="51" t="s">
        <v>147</v>
      </c>
      <c r="G8" s="12"/>
      <c r="J8" s="7"/>
    </row>
    <row r="9" spans="2:10">
      <c r="B9" s="5"/>
      <c r="C9" t="s">
        <v>104</v>
      </c>
      <c r="D9" s="84">
        <v>0.15</v>
      </c>
      <c r="E9" t="s">
        <v>14</v>
      </c>
      <c r="J9" s="7"/>
    </row>
    <row r="10" spans="2:10">
      <c r="B10" s="5"/>
      <c r="C10" t="s">
        <v>179</v>
      </c>
      <c r="D10" s="84">
        <v>95</v>
      </c>
      <c r="E10" t="s">
        <v>174</v>
      </c>
      <c r="F10" t="s">
        <v>175</v>
      </c>
      <c r="J10" s="7"/>
    </row>
    <row r="11" spans="2:10">
      <c r="B11" s="5"/>
      <c r="J11" s="7"/>
    </row>
    <row r="12" spans="2:10">
      <c r="B12" s="5"/>
      <c r="C12" t="s">
        <v>109</v>
      </c>
      <c r="G12" s="12"/>
      <c r="J12" s="7"/>
    </row>
    <row r="13" spans="2:10">
      <c r="B13" s="5"/>
      <c r="C13" t="s">
        <v>17</v>
      </c>
      <c r="D13" s="52" t="s">
        <v>116</v>
      </c>
      <c r="E13">
        <f>ROUNDDOWN(3.297*D7+(1.971*D8+4.663),3)</f>
        <v>28.709</v>
      </c>
      <c r="G13" s="12"/>
      <c r="J13" s="7"/>
    </row>
    <row r="14" spans="2:10">
      <c r="B14" s="5"/>
      <c r="C14" t="s">
        <v>3</v>
      </c>
      <c r="D14" t="s">
        <v>118</v>
      </c>
      <c r="E14">
        <f>ROUNDDOWN((1.401*D8+0.684)*D7+(1.214*D8-0.834),3)</f>
        <v>29.686</v>
      </c>
      <c r="G14" s="12"/>
      <c r="J14" s="7"/>
    </row>
    <row r="15" spans="2:10">
      <c r="B15" s="19"/>
      <c r="G15" s="12"/>
      <c r="J15" s="7"/>
    </row>
    <row r="16" spans="2:10">
      <c r="B16" s="5"/>
      <c r="G16" s="12"/>
      <c r="J16" s="7"/>
    </row>
    <row r="17" spans="2:10">
      <c r="B17" s="5"/>
      <c r="C17" t="s">
        <v>8</v>
      </c>
      <c r="D17">
        <f>ROUNDDOWN(E13*D5+E14,3)</f>
        <v>72.748999999999995</v>
      </c>
      <c r="G17" s="12"/>
      <c r="J17" s="7"/>
    </row>
    <row r="18" spans="2:10">
      <c r="B18" s="5"/>
      <c r="G18" s="12"/>
      <c r="J18" s="7"/>
    </row>
    <row r="19" spans="2:10">
      <c r="B19" s="5"/>
      <c r="C19" t="s">
        <v>45</v>
      </c>
      <c r="D19" t="s">
        <v>22</v>
      </c>
      <c r="E19" s="1">
        <f>ROUNDDOWN(D17*0.108*0.81,3)</f>
        <v>6.3639999999999999</v>
      </c>
      <c r="G19" s="12"/>
      <c r="J19" s="7"/>
    </row>
    <row r="20" spans="2:10">
      <c r="B20" s="5"/>
      <c r="G20" s="12"/>
      <c r="J20" s="7"/>
    </row>
    <row r="21" spans="2:10">
      <c r="B21" s="5"/>
      <c r="C21" s="28" t="s">
        <v>47</v>
      </c>
      <c r="D21" s="28" t="s">
        <v>94</v>
      </c>
      <c r="E21" s="30">
        <f>E19</f>
        <v>6.3639999999999999</v>
      </c>
      <c r="F21" s="28" t="s">
        <v>34</v>
      </c>
      <c r="J21" s="7"/>
    </row>
    <row r="22" spans="2:10">
      <c r="B22" s="5"/>
      <c r="J22" s="7"/>
    </row>
    <row r="23" spans="2:10">
      <c r="B23" s="5"/>
      <c r="J23" s="7"/>
    </row>
    <row r="24" spans="2:10">
      <c r="B24" s="5"/>
      <c r="C24" s="27" t="s">
        <v>37</v>
      </c>
      <c r="D24" t="s">
        <v>178</v>
      </c>
      <c r="J24" s="7"/>
    </row>
    <row r="25" spans="2:10">
      <c r="B25" s="5"/>
      <c r="D25" t="s">
        <v>52</v>
      </c>
      <c r="G25" s="1">
        <f>D9*D9*3.14/4*(D6)</f>
        <v>1.7662500000000001E-2</v>
      </c>
      <c r="J25" s="7"/>
    </row>
    <row r="26" spans="2:10">
      <c r="B26" s="5"/>
      <c r="D26" t="s">
        <v>40</v>
      </c>
      <c r="G26" s="1">
        <f>(D5*D8*D7-D9*D9*3.14/4*(D6))*D10*0.01</f>
        <v>23.495720625000001</v>
      </c>
      <c r="J26" s="7"/>
    </row>
    <row r="27" spans="2:10">
      <c r="B27" s="5"/>
      <c r="D27" t="s">
        <v>15</v>
      </c>
      <c r="G27" s="10">
        <f>ROUNDDOWN(G25+G26,3)</f>
        <v>23.513000000000002</v>
      </c>
      <c r="J27" s="7"/>
    </row>
    <row r="28" spans="2:10">
      <c r="B28" s="5"/>
      <c r="F28" s="9"/>
      <c r="G28" s="11"/>
      <c r="J28" s="7"/>
    </row>
    <row r="29" spans="2:10">
      <c r="B29" s="5"/>
      <c r="C29" s="28" t="s">
        <v>38</v>
      </c>
      <c r="D29" s="28" t="s">
        <v>166</v>
      </c>
      <c r="E29" s="28"/>
      <c r="F29" s="28"/>
      <c r="G29" s="31">
        <f>G27</f>
        <v>23.513000000000002</v>
      </c>
      <c r="J29" s="7"/>
    </row>
    <row r="30" spans="2:10">
      <c r="B30" s="5"/>
      <c r="C30" s="9"/>
      <c r="D30" s="9"/>
      <c r="E30" s="9"/>
      <c r="F30" s="9"/>
      <c r="G30" s="26"/>
      <c r="J30" s="7"/>
    </row>
    <row r="31" spans="2:10">
      <c r="B31" s="5"/>
      <c r="C31" s="9"/>
      <c r="D31" s="9"/>
      <c r="E31" s="9"/>
      <c r="G31" s="25"/>
      <c r="J31" s="7"/>
    </row>
    <row r="32" spans="2:10">
      <c r="B32" s="5"/>
      <c r="J32" s="7"/>
    </row>
    <row r="33" spans="2:10">
      <c r="B33" s="5"/>
      <c r="J33" s="7"/>
    </row>
    <row r="34" spans="2:10">
      <c r="B34" s="5"/>
      <c r="J34" s="7"/>
    </row>
    <row r="35" spans="2:10">
      <c r="B35" s="5"/>
      <c r="J35" s="7"/>
    </row>
    <row r="36" spans="2:10">
      <c r="B36" s="5"/>
      <c r="J36" s="7"/>
    </row>
    <row r="37" spans="2:10">
      <c r="B37" s="5"/>
      <c r="J37" s="7"/>
    </row>
    <row r="38" spans="2:10">
      <c r="B38" s="5"/>
      <c r="J38" s="7"/>
    </row>
    <row r="39" spans="2:10">
      <c r="B39" s="5"/>
      <c r="J39" s="7"/>
    </row>
    <row r="40" spans="2:10">
      <c r="B40" s="5"/>
      <c r="J40" s="7"/>
    </row>
    <row r="41" spans="2:10">
      <c r="B41" s="5"/>
      <c r="J41" s="7"/>
    </row>
    <row r="42" spans="2:10">
      <c r="B42" s="5"/>
      <c r="J42" s="7"/>
    </row>
    <row r="43" spans="2:10">
      <c r="B43" s="5"/>
      <c r="J43" s="7"/>
    </row>
    <row r="44" spans="2:10">
      <c r="B44" s="5"/>
      <c r="J44" s="7"/>
    </row>
    <row r="45" spans="2:10">
      <c r="B45" s="5"/>
      <c r="J45" s="7"/>
    </row>
    <row r="46" spans="2:10">
      <c r="B46" s="5"/>
      <c r="J46" s="7"/>
    </row>
    <row r="47" spans="2:10">
      <c r="B47" s="5"/>
      <c r="J47" s="7"/>
    </row>
    <row r="48" spans="2:10">
      <c r="B48" s="5"/>
      <c r="J48" s="7"/>
    </row>
    <row r="49" spans="2:10">
      <c r="B49" s="95" t="s">
        <v>183</v>
      </c>
      <c r="J49" s="7"/>
    </row>
    <row r="50" spans="2:10">
      <c r="B50" s="95" t="s">
        <v>181</v>
      </c>
      <c r="J50" s="7"/>
    </row>
    <row r="51" spans="2:10">
      <c r="B51" s="96" t="s">
        <v>182</v>
      </c>
      <c r="F51" s="73"/>
      <c r="J51" s="7"/>
    </row>
    <row r="52" spans="2:10">
      <c r="B52" s="126" t="s">
        <v>152</v>
      </c>
      <c r="C52" s="132"/>
      <c r="D52" s="132"/>
      <c r="E52" s="132"/>
      <c r="F52" s="132"/>
      <c r="G52" s="132"/>
      <c r="H52" s="132"/>
      <c r="I52" s="132"/>
      <c r="J52" s="133"/>
    </row>
    <row r="53" spans="2:10" ht="14.25" thickBot="1">
      <c r="B53" s="74"/>
      <c r="C53" s="75"/>
      <c r="D53" s="75"/>
      <c r="E53" s="75"/>
      <c r="F53" s="14"/>
      <c r="G53" s="75"/>
      <c r="H53" s="75"/>
      <c r="I53" s="75"/>
      <c r="J53" s="76"/>
    </row>
  </sheetData>
  <sheetProtection sheet="1" objects="1" scenarios="1"/>
  <mergeCells count="2">
    <mergeCell ref="B3:J3"/>
    <mergeCell ref="B52:J52"/>
  </mergeCells>
  <phoneticPr fontId="1"/>
  <dataValidations count="3">
    <dataValidation type="decimal" operator="lessThanOrEqual" allowBlank="1" showInputMessage="1" showErrorMessage="1" error="L＝200mの範囲でご入力ください" sqref="D7">
      <formula1>200</formula1>
    </dataValidation>
    <dataValidation type="decimal" operator="lessThanOrEqual" allowBlank="1" showInputMessage="1" showErrorMessage="1" error="W≦5mの範囲で入力ください。" sqref="D8">
      <formula1>5</formula1>
    </dataValidation>
    <dataValidation type="decimal" operator="lessThanOrEqual" allowBlank="1" showInputMessage="1" showErrorMessage="1" error="Ｈ≦5.0mの範囲でご入力ください" sqref="D5">
      <formula1>5</formula1>
    </dataValidation>
  </dataValidations>
  <pageMargins left="0.7" right="0.7" top="0.75" bottom="0.75" header="0.3" footer="0.3"/>
  <pageSetup paperSize="9" scale="77" orientation="portrait" r:id="rId1"/>
  <colBreaks count="1" manualBreakCount="1">
    <brk id="11"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はじめに</vt:lpstr>
      <vt:lpstr>基本式</vt:lpstr>
      <vt:lpstr>Ａ　対策量、処理量(建ぺい率)</vt:lpstr>
      <vt:lpstr>Ｂ　対策量、処理量(工種別)</vt:lpstr>
      <vt:lpstr>①（浸透ﾄﾚﾝﾁ）H≦1.5、Ｗ≦1.5 </vt:lpstr>
      <vt:lpstr>②（浸透ﾄﾚﾝﾁ）1.5＜Ｈ、1.5＜Ｗ </vt:lpstr>
      <vt:lpstr>③（正方形桝）W≦1ｍ </vt:lpstr>
      <vt:lpstr>④（正方形桝）1ｍ＜W≦10ｍ </vt:lpstr>
      <vt:lpstr>⑤（矩形桝） </vt:lpstr>
      <vt:lpstr>⑥（大型貯留槽使用）※使用不可</vt:lpstr>
      <vt:lpstr>'①（浸透ﾄﾚﾝﾁ）H≦1.5、Ｗ≦1.5 '!Print_Area</vt:lpstr>
      <vt:lpstr>'②（浸透ﾄﾚﾝﾁ）1.5＜Ｈ、1.5＜Ｗ '!Print_Area</vt:lpstr>
      <vt:lpstr>'③（正方形桝）W≦1ｍ '!Print_Area</vt:lpstr>
      <vt:lpstr>'④（正方形桝）1ｍ＜W≦10ｍ '!Print_Area</vt:lpstr>
      <vt:lpstr>'⑤（矩形桝） '!Print_Area</vt:lpstr>
      <vt:lpstr>'⑥（大型貯留槽使用）※使用不可'!Print_Area</vt:lpstr>
      <vt:lpstr>'Ａ　対策量、処理量(建ぺい率)'!Print_Area</vt:lpstr>
      <vt:lpstr>'Ｂ　対策量、処理量(工種別)'!Print_Area</vt:lpstr>
      <vt:lpstr>はじめに!Print_Area</vt:lpstr>
      <vt:lpstr>基本式!Print_Area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幸晴</dc:creator>
  <cp:lastModifiedBy>田中 勇人</cp:lastModifiedBy>
  <cp:lastPrinted>2024-08-01T07:57:03Z</cp:lastPrinted>
  <dcterms:created xsi:type="dcterms:W3CDTF">2021-06-17T01:18:50Z</dcterms:created>
  <dcterms:modified xsi:type="dcterms:W3CDTF">2024-08-01T08:28:44Z</dcterms:modified>
</cp:coreProperties>
</file>